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740" windowHeight="7875" activeTab="0"/>
  </bookViews>
  <sheets>
    <sheet name="Dochody" sheetId="1" r:id="rId1"/>
    <sheet name="Wydatki" sheetId="2" r:id="rId2"/>
    <sheet name="Arkusz3" sheetId="3" r:id="rId3"/>
  </sheets>
  <definedNames>
    <definedName name="_xlnm._FilterDatabase" localSheetId="0" hidden="1">'Dochody'!$D$1:$D$241</definedName>
    <definedName name="_xlnm._FilterDatabase" localSheetId="1" hidden="1">'Wydatki'!$D$1:$D$756</definedName>
  </definedNames>
  <calcPr fullCalcOnLoad="1"/>
</workbook>
</file>

<file path=xl/comments1.xml><?xml version="1.0" encoding="utf-8"?>
<comments xmlns="http://schemas.openxmlformats.org/spreadsheetml/2006/main">
  <authors>
    <author>Wiktor Śniegowski</author>
  </authors>
  <commentList>
    <comment ref="A131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  <comment ref="A144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  <comment ref="A165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</commentList>
</comments>
</file>

<file path=xl/comments2.xml><?xml version="1.0" encoding="utf-8"?>
<comments xmlns="http://schemas.openxmlformats.org/spreadsheetml/2006/main">
  <authors>
    <author>Skarbnik</author>
  </authors>
  <commentList>
    <comment ref="D539" authorId="0">
      <text>
        <r>
          <rPr>
            <b/>
            <sz val="9"/>
            <rFont val="Tahoma"/>
            <family val="2"/>
          </rPr>
          <t>Skarbnik: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<sst xmlns="http://schemas.openxmlformats.org/spreadsheetml/2006/main" count="1778" uniqueCount="542">
  <si>
    <t>Treść</t>
  </si>
  <si>
    <t>Dział</t>
  </si>
  <si>
    <t>Rozdział</t>
  </si>
  <si>
    <t>§</t>
  </si>
  <si>
    <t>Rolnictwo i łowiectwo</t>
  </si>
  <si>
    <t>Izby rolnicze</t>
  </si>
  <si>
    <t>Transport i łączność</t>
  </si>
  <si>
    <t>Drogi publiczne gminne</t>
  </si>
  <si>
    <t>Wpływy z różnych dochodów</t>
  </si>
  <si>
    <t>Zakup materiałów i wyposażenia</t>
  </si>
  <si>
    <t>Zakup energii</t>
  </si>
  <si>
    <t>Zakup usług remontowych</t>
  </si>
  <si>
    <t>Zakup usług pozostałych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</si>
  <si>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</si>
  <si>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</si>
  <si>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</si>
  <si>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</si>
  <si>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</si>
  <si>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</si>
  <si>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Wynagrodzenia osobowe pracowników</t>
  </si>
  <si>
    <t>Dodatkowe wynagrodzenie roczne</t>
  </si>
  <si>
    <t>Składki na ubezpieczenie społeczne</t>
  </si>
  <si>
    <t>Składki na Fundusz Pracy</t>
  </si>
  <si>
    <t>Różne wydatki na rzecz osób fizycznych</t>
  </si>
  <si>
    <t>Dodatkowe wynagrodzenia roczne</t>
  </si>
  <si>
    <t>Podróże służbowe krajowe</t>
  </si>
  <si>
    <t>Różne opłaty i składki</t>
  </si>
  <si>
    <t>Składki na ubezpieczenia społeczne</t>
  </si>
  <si>
    <t>Bezpieczeństwo publiczne i ochrona przeciwpożarowa</t>
  </si>
  <si>
    <t>Ochotnicze straże pożarne</t>
  </si>
  <si>
    <t>Obrona cywilna</t>
  </si>
  <si>
    <t>Podatek od nieruchomości</t>
  </si>
  <si>
    <t>Wpływy z opłaty targowej</t>
  </si>
  <si>
    <t>Wpływy z opłaty skarbowej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</si>
  <si>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</si>
  <si>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</si>
  <si>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</si>
  <si>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</si>
  <si>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 xml:space="preserve">Obsługa długu publicznego </t>
  </si>
  <si>
    <t>Różne rozliczenia</t>
  </si>
  <si>
    <t>Subwencje ogólne z budżetu państwa</t>
  </si>
  <si>
    <t>Rezerwy ogólne i celowe</t>
  </si>
  <si>
    <t>Rezerwy</t>
  </si>
  <si>
    <t xml:space="preserve">Oświata i wychowanie </t>
  </si>
  <si>
    <t>Szkoły podstawowe</t>
  </si>
  <si>
    <t>Zakup usług zdrowotnych</t>
  </si>
  <si>
    <t>Gimnazja</t>
  </si>
  <si>
    <t>Dowożenie uczniów do szkół</t>
  </si>
  <si>
    <t>Ochrona zdrowia</t>
  </si>
  <si>
    <t>Przeciwdziałanie alkoholizmowi</t>
  </si>
  <si>
    <t>Świadczenia społeczne</t>
  </si>
  <si>
    <t xml:space="preserve">Składki na ubezpieczenia zdrowotne </t>
  </si>
  <si>
    <t>Dodatki mieszkaniowe</t>
  </si>
  <si>
    <t>Ośrodki pomocy społecznej</t>
  </si>
  <si>
    <t>Edukacyjna opieka wychowawcza</t>
  </si>
  <si>
    <t>Świetlice szkolne</t>
  </si>
  <si>
    <t>Wpływy z usług</t>
  </si>
  <si>
    <t>Zakup środków żywności</t>
  </si>
  <si>
    <t>Gospodarka komunalna i ochrona środowiska</t>
  </si>
  <si>
    <t>Oczyszczanie miast i wsi</t>
  </si>
  <si>
    <t>Oświetlenie ulic, placów i dróg</t>
  </si>
  <si>
    <t>Kultura i ochrona dziedzictwa narodowego</t>
  </si>
  <si>
    <t>Pozostałe zadania w zakresie kultury</t>
  </si>
  <si>
    <t>Domy i ośrodki kultury, świetlice i kluby</t>
  </si>
  <si>
    <t>Biblioteki</t>
  </si>
  <si>
    <t>Ogółem</t>
  </si>
  <si>
    <t>Klasyfikacja</t>
  </si>
  <si>
    <t>Plan po zmianach</t>
  </si>
  <si>
    <t>Wykonanie</t>
  </si>
  <si>
    <t>% Wykonania</t>
  </si>
  <si>
    <t>010</t>
  </si>
  <si>
    <t xml:space="preserve">    Klasyfikacja</t>
  </si>
  <si>
    <t xml:space="preserve">Plan </t>
  </si>
  <si>
    <t>po zmianach</t>
  </si>
  <si>
    <t>%</t>
  </si>
  <si>
    <t>wykonania</t>
  </si>
  <si>
    <t>4300</t>
  </si>
  <si>
    <t>3030</t>
  </si>
  <si>
    <t>4110</t>
  </si>
  <si>
    <t>4120</t>
  </si>
  <si>
    <t>4210</t>
  </si>
  <si>
    <t>4410</t>
  </si>
  <si>
    <t>75818</t>
  </si>
  <si>
    <t>4810</t>
  </si>
  <si>
    <t>Gospodarka ściekowa i ochrona wód</t>
  </si>
  <si>
    <t>90001</t>
  </si>
  <si>
    <t>6050</t>
  </si>
  <si>
    <t>Wydatki inwestycyjne jednostek budżetowych</t>
  </si>
  <si>
    <t>90095</t>
  </si>
  <si>
    <t>4430</t>
  </si>
  <si>
    <t>Koszty postępowania sądowego i prokuratorskiego</t>
  </si>
  <si>
    <t>4610</t>
  </si>
  <si>
    <t>Podatek od towarów i usług VAT</t>
  </si>
  <si>
    <t>4530</t>
  </si>
  <si>
    <t>2310</t>
  </si>
  <si>
    <t>3020</t>
  </si>
  <si>
    <t>zł</t>
  </si>
  <si>
    <t>0470</t>
  </si>
  <si>
    <t>0750</t>
  </si>
  <si>
    <t>0920</t>
  </si>
  <si>
    <t>2010</t>
  </si>
  <si>
    <t>2360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</si>
  <si>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</si>
  <si>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</si>
  <si>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</si>
  <si>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</si>
  <si>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</si>
  <si>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</si>
  <si>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</si>
  <si>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</si>
  <si>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</si>
  <si>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0500</t>
  </si>
  <si>
    <t>0410</t>
  </si>
  <si>
    <t>0480</t>
  </si>
  <si>
    <t>0490</t>
  </si>
  <si>
    <t>0010</t>
  </si>
  <si>
    <t>0590</t>
  </si>
  <si>
    <t>0020</t>
  </si>
  <si>
    <t>2920</t>
  </si>
  <si>
    <t>75831</t>
  </si>
  <si>
    <t xml:space="preserve">Przedszkola </t>
  </si>
  <si>
    <t>80104</t>
  </si>
  <si>
    <t>0830</t>
  </si>
  <si>
    <t>Pomoc społeczna</t>
  </si>
  <si>
    <t>852</t>
  </si>
  <si>
    <t>85213</t>
  </si>
  <si>
    <t>85214</t>
  </si>
  <si>
    <t>85219</t>
  </si>
  <si>
    <t>Usługi opiekuńcze i specjalistyczne usługi opiekuńcze</t>
  </si>
  <si>
    <t>85228</t>
  </si>
  <si>
    <t>2320</t>
  </si>
  <si>
    <t>0690</t>
  </si>
  <si>
    <t>4270</t>
  </si>
  <si>
    <t>4140</t>
  </si>
  <si>
    <t>4280</t>
  </si>
  <si>
    <t>4220</t>
  </si>
  <si>
    <t>Dokształcanie i doskonalenie nauczycieli</t>
  </si>
  <si>
    <t>80146</t>
  </si>
  <si>
    <t>80195</t>
  </si>
  <si>
    <t>4440</t>
  </si>
  <si>
    <t>Zwalczanie narkomanii</t>
  </si>
  <si>
    <t>85153</t>
  </si>
  <si>
    <t>4240</t>
  </si>
  <si>
    <t xml:space="preserve">Pomoc społeczna </t>
  </si>
  <si>
    <t>6060</t>
  </si>
  <si>
    <t>3110</t>
  </si>
  <si>
    <t>4010</t>
  </si>
  <si>
    <t>85215</t>
  </si>
  <si>
    <t>85295</t>
  </si>
  <si>
    <t>4260</t>
  </si>
  <si>
    <t>75616</t>
  </si>
  <si>
    <t>75618</t>
  </si>
  <si>
    <t>Wpływy z różnych opłat</t>
  </si>
  <si>
    <t>75621</t>
  </si>
  <si>
    <t>2030</t>
  </si>
  <si>
    <t>Różne rozliczenia finansowe</t>
  </si>
  <si>
    <t>75814</t>
  </si>
  <si>
    <t>Pomoc materialna dla uczniów</t>
  </si>
  <si>
    <t>85415</t>
  </si>
  <si>
    <t>Wynagrodzenia bezosobowe</t>
  </si>
  <si>
    <t>4170</t>
  </si>
  <si>
    <t>4480</t>
  </si>
  <si>
    <t>4500</t>
  </si>
  <si>
    <t>2900</t>
  </si>
  <si>
    <t>4040</t>
  </si>
  <si>
    <t>2480</t>
  </si>
  <si>
    <t>Stypendia dla uczniów</t>
  </si>
  <si>
    <t>3240</t>
  </si>
  <si>
    <t>Inne formy pomocy dla uczniów</t>
  </si>
  <si>
    <t>3260</t>
  </si>
  <si>
    <t>Domy pomocy społecznej</t>
  </si>
  <si>
    <t>85202</t>
  </si>
  <si>
    <t>4330</t>
  </si>
  <si>
    <t>Dotacje celowe otrzymane z budżetu na real. zadań bieżących z  zakresu adm.rządowej zleconych gminie</t>
  </si>
  <si>
    <t>Urzędy naczelnych organów władzy państwowej, kontroli i ochrony prawa oraz sądownictwa</t>
  </si>
  <si>
    <t>Urzędy naczelnych organów władzy państwowej, kontroli i ochrony prawa</t>
  </si>
  <si>
    <t>Dotacje celowe z budżetu państwa na realizację własnych zadań bieżących gmin</t>
  </si>
  <si>
    <t>01030</t>
  </si>
  <si>
    <t>Wypłaty z tytułu gwarancji i poręczeń</t>
  </si>
  <si>
    <t>Przedszkola</t>
  </si>
  <si>
    <t>80110</t>
  </si>
  <si>
    <t>80113</t>
  </si>
  <si>
    <t>Wynagrodzenie osobowe pracowników</t>
  </si>
  <si>
    <t>Dotacja celowa z budżetu na finansowanie lub dofinansowanie zadań zleconych do realizacji stowarzyszeniom</t>
  </si>
  <si>
    <t>85495</t>
  </si>
  <si>
    <t>Dotacja podmiotowa z budżetu dla samorządowej instytucji kultury</t>
  </si>
  <si>
    <t>92605</t>
  </si>
  <si>
    <t>75075</t>
  </si>
  <si>
    <t>85220</t>
  </si>
  <si>
    <t>0970</t>
  </si>
  <si>
    <t>854</t>
  </si>
  <si>
    <t>Promocja Jednostek samorządu terytorialnego</t>
  </si>
  <si>
    <t>Jednostki specjalistycznego poradnictwa, mieszkania chronione, ośrodki interwencji kryzysowej</t>
  </si>
  <si>
    <t>4700</t>
  </si>
  <si>
    <t>4360</t>
  </si>
  <si>
    <t>Wynagrodzenie bezosobowe</t>
  </si>
  <si>
    <t>Szkolenia pracowników niebędacych członkami korpusu służby cywilnej</t>
  </si>
  <si>
    <t>Zakup materiałow i wyposażenia</t>
  </si>
  <si>
    <t>01095</t>
  </si>
  <si>
    <t>Leśnictwo</t>
  </si>
  <si>
    <t>020</t>
  </si>
  <si>
    <t>Gospodarka leśna</t>
  </si>
  <si>
    <t>02001</t>
  </si>
  <si>
    <t>60013</t>
  </si>
  <si>
    <t>60014</t>
  </si>
  <si>
    <t>Zakup usług obejmujących wykonanie ekspertyz, analiz i opinii</t>
  </si>
  <si>
    <t>4390</t>
  </si>
  <si>
    <t>Szkolenia pracowników niebędących członkami korpusu służby cywilnej</t>
  </si>
  <si>
    <t>Opłaty na rzecz budżetu państwa</t>
  </si>
  <si>
    <t>4510</t>
  </si>
  <si>
    <t>Wczesne wspomaganie rozwoju dziecka</t>
  </si>
  <si>
    <t>85404</t>
  </si>
  <si>
    <t>Szkolenie pracowników niebędących członkami korpusu służby cywilnej</t>
  </si>
  <si>
    <t>Dotacje celowe otrzymane z budżetu państwa na realizację zadań bieżących z  zakresu administracji rządowej zleconych gminie</t>
  </si>
  <si>
    <t>Wpłaty z tytułu odpłatnego nabycia prawa własności oraz prawa użytkowania wieczystego nieruchomości</t>
  </si>
  <si>
    <t>0770</t>
  </si>
  <si>
    <t>926</t>
  </si>
  <si>
    <t>Wpływy i wydatki związane z gromadzeniem środków z opłat produktowych</t>
  </si>
  <si>
    <t>90020</t>
  </si>
  <si>
    <t>0760</t>
  </si>
  <si>
    <t>90004</t>
  </si>
  <si>
    <t>4400</t>
  </si>
  <si>
    <t>80148</t>
  </si>
  <si>
    <t>Składki na Fudusz Pracy</t>
  </si>
  <si>
    <t>Opłaty za administrowanie i czynsze za budynki, lokale i pomieszczenia garażowe</t>
  </si>
  <si>
    <t>Działalność usługowa</t>
  </si>
  <si>
    <t>Plany zagospodarowania przestrzennego</t>
  </si>
  <si>
    <t>710</t>
  </si>
  <si>
    <t>71004</t>
  </si>
  <si>
    <t>Udział % w wydatkach ogółem</t>
  </si>
  <si>
    <t>Zasiłki i pomoc w naturze oraz składki na ubezpieczenia emerytalne i rentowe</t>
  </si>
  <si>
    <t>Utrzymanie zieleni w miastach i gminach</t>
  </si>
  <si>
    <t>Udział % w dochodach ogółem</t>
  </si>
  <si>
    <t>Pozostałe zadania w zakresie polityki społecznej</t>
  </si>
  <si>
    <t>853</t>
  </si>
  <si>
    <t>85395</t>
  </si>
  <si>
    <t>4309</t>
  </si>
  <si>
    <t>6059</t>
  </si>
  <si>
    <t>Obiekty sportowe</t>
  </si>
  <si>
    <t>92601</t>
  </si>
  <si>
    <t>600</t>
  </si>
  <si>
    <t>60016</t>
  </si>
  <si>
    <t>Wybory do Parlamentu Europejskiego</t>
  </si>
  <si>
    <t>75113</t>
  </si>
  <si>
    <t>2910</t>
  </si>
  <si>
    <t>dochody bieżące</t>
  </si>
  <si>
    <t>dochody majątkowe</t>
  </si>
  <si>
    <t>Zasiłki stałe</t>
  </si>
  <si>
    <t>85216</t>
  </si>
  <si>
    <t>Towarzystwa Budownictwa Społecznego</t>
  </si>
  <si>
    <t>Wydatki na zakup i objęcie akcji, wniesienie wkładów do spółek prawa handlowego oraz uzupełnienie funduszy statutowych</t>
  </si>
  <si>
    <t>70021</t>
  </si>
  <si>
    <t>6010</t>
  </si>
  <si>
    <t>75495</t>
  </si>
  <si>
    <t>4307</t>
  </si>
  <si>
    <t>Podróże służbowe zagraniczne</t>
  </si>
  <si>
    <t>6057</t>
  </si>
  <si>
    <t xml:space="preserve">Dotacje celowe w ramach programów finansowanych z udziałem środków europejskich oraz środków o których mowa w art. 5 ust. 1 pkt 3 oraz ust. 3 pkt 5 i 6 ustawy lub płatności w ramach budżetu środków europejskich </t>
  </si>
  <si>
    <t>6207</t>
  </si>
  <si>
    <t>Otrzymane spadki, zapisy i darowizny otrzymane w formie pieniężnej</t>
  </si>
  <si>
    <t>0960</t>
  </si>
  <si>
    <t>75107</t>
  </si>
  <si>
    <t>Dotacje celowe otrzmane z budżetu na real. zadań bieżących z zakresu admi. rządowej zleconych gminie</t>
  </si>
  <si>
    <t>851</t>
  </si>
  <si>
    <t>Grzywny, mandaty i inne kary pieniężne od osób fizycznych</t>
  </si>
  <si>
    <t>0570</t>
  </si>
  <si>
    <t>2460</t>
  </si>
  <si>
    <t>Wpływy i wydatki związane z gromadzeniem środków z opłat i kar za korzystanie ze środowiska</t>
  </si>
  <si>
    <t>90019</t>
  </si>
  <si>
    <t>Dotacje celowe otrzymane z budżetu państwa na realizację własnych zadań bieżących gmin</t>
  </si>
  <si>
    <t>Wydatki osobowe nie zaliczane do wynagrodzeń</t>
  </si>
  <si>
    <t>Informatyka</t>
  </si>
  <si>
    <t>720</t>
  </si>
  <si>
    <t>72095</t>
  </si>
  <si>
    <t>Usuwanie skutków klęsk żywiołowych</t>
  </si>
  <si>
    <t>75078</t>
  </si>
  <si>
    <t>2710</t>
  </si>
  <si>
    <t>Dotacja celowa na pomoc finansową udzielaną między jednostkami samorządu terytorialnego na dofinansowanie własnych zadań bieżących</t>
  </si>
  <si>
    <t>Wybory Prezydenta Rzeczypospolitej Polskiej</t>
  </si>
  <si>
    <t>w tym:</t>
  </si>
  <si>
    <t>wydatki bieżące</t>
  </si>
  <si>
    <t>wydatki majątkowe</t>
  </si>
  <si>
    <t>z tego:</t>
  </si>
  <si>
    <t>wynagrodzenia i pochodne od wynagrodzeń</t>
  </si>
  <si>
    <t>wydatki związane z realizacją zadań statutowych jednostek budżetowych</t>
  </si>
  <si>
    <t>dotacje na zadania bieżące</t>
  </si>
  <si>
    <t>świadczenia na rzecz osób fizycznych</t>
  </si>
  <si>
    <t>wydatki na programy finansowane z udziałem środków o których mowa w art.. 5 ust. 1 pkt 2 i 3</t>
  </si>
  <si>
    <t>wypłaty z tytułu poręczeń i gwarancji</t>
  </si>
  <si>
    <t>obsługa długu</t>
  </si>
  <si>
    <t>inwestycje i zakupy inwestycyjne</t>
  </si>
  <si>
    <t>zakup i objęcie akcji i udziałow oraz wniesienie wkładów do spółek prawa handlowego</t>
  </si>
  <si>
    <t>Udział % w wydatkach bieżących</t>
  </si>
  <si>
    <t>Wpływy z tytułu przekształcenia prawa użytkowania wieczystego przysługującego osobom fizycznym</t>
  </si>
  <si>
    <t>Dochody jednostek samorządu terytorialnego związane z realizacją zadań z zakresu administracji rządowej oraz innych zadań zleconych ustawami</t>
  </si>
  <si>
    <t>Dochody od osób prawnych, osób fizycznych i innych nie posiadających osobowości prawnej oraz wydatki związane z ich poborem</t>
  </si>
  <si>
    <t>Wpływy z podatku dochodowego od osób fizycznych</t>
  </si>
  <si>
    <t xml:space="preserve">Wpływy z podatku rolnego, podatku leśnego, podatku od czynności cywilnoprawnych, podatków i opłat  od osób prawnych i innych  jednostek organizacyjnych </t>
  </si>
  <si>
    <t>Wpływy z podatku rolnego, podatku leśnego, podatku od czynności cywilno-prawnych oraz podatków i opłat lokalnych od osób fizycznych</t>
  </si>
  <si>
    <t>Wpływy z innych opłat stanowiących dochód jednostek samorządu terytorialnego na podstawie innych ustaw</t>
  </si>
  <si>
    <t>Część wyrównawcza subwencji ogólnej dla gmin</t>
  </si>
  <si>
    <t>75807</t>
  </si>
  <si>
    <t>Część równoważąca subwencji ogólnej dla gmin</t>
  </si>
  <si>
    <t>Środki na dofinansowanie własnych zadań bieżących gmin (związków gmin), powiatów (związków powiatów), samorządów województw, pozyskane z innych źródeł</t>
  </si>
  <si>
    <t xml:space="preserve">Stołówki szkolne i przedszkolne </t>
  </si>
  <si>
    <t>Dotacje celowe z budżetu państwa na realizację własnych zadań bieżących gmin (związków gmin)</t>
  </si>
  <si>
    <t>Dotacje celowe otrzymane z budżetu państwa na realizację własnych zadań bieżących gmin (związków gmin)</t>
  </si>
  <si>
    <t>Dotacje celowe otrzymanez powiatu na zadania bieżące relizowane na podstawie porozumień (umów) między jednostaki samorządu terytorialnego</t>
  </si>
  <si>
    <t>Wypłaty gmin na rzecz izb rolniczych w wysokości 2% uzyskanych wpływów z podatku rolnego</t>
  </si>
  <si>
    <t>Opłaty na rzecz budżetów jednostek samorządu terytorialnego</t>
  </si>
  <si>
    <t>Drogi publiczne wojewódzkie</t>
  </si>
  <si>
    <t>Drogi publiczne powiatowe</t>
  </si>
  <si>
    <t>4520</t>
  </si>
  <si>
    <t>Rady Gmin (miast i miast na prawach powiatu)</t>
  </si>
  <si>
    <t>Wydatki osobowe niezaliczone do wynagrodzeń</t>
  </si>
  <si>
    <t>Wpłaty na Państowy Fundusz Rehabilitacji Osób Niepełnosprawnych</t>
  </si>
  <si>
    <t>Odpisy na zakładowy fundusz świadczeń socjalnych</t>
  </si>
  <si>
    <t>Pozostałe podatki na rzecz budżetów  jednostek samorządu terytorialnego</t>
  </si>
  <si>
    <t>Wpłaty gmin na rzecz innych jednostek samorządu terytorialnego oraz związków gmin lub związków powiatów na dofinansowanie zadań bieżących</t>
  </si>
  <si>
    <t>Obsługa papierów wartościowych, kredytów i pożyczek jednostek samorządu terytorialnego</t>
  </si>
  <si>
    <t>Rozliczenia z tyułu poręczeń i gwarancji udzielonych przez Skarb Państwa lub jednostkę samorządu terytorialnego</t>
  </si>
  <si>
    <t>Odpis na zakładowy fundusz świadczeń socjalnych</t>
  </si>
  <si>
    <t>Stołówki szkolne i przedszkolne</t>
  </si>
  <si>
    <t>Zakup usług przez jednostki samorządu terytorialnego od innych jednostek samorządu terytorialnego</t>
  </si>
  <si>
    <t>Zwrot dotacji oraz płatności, w tym wykorzystanych niezgodnie z przeznaczeniem lub wykorzystanych z naruszeniem procedur, o których mowa w art.. 184 ustawy, pobranych nienależnie lub w nadmiernej wysokości</t>
  </si>
  <si>
    <t xml:space="preserve">Zadania w zakresie kultury fizycznej </t>
  </si>
  <si>
    <t>Wpływy ze sprzedaży składników majątkowych</t>
  </si>
  <si>
    <t>0870</t>
  </si>
  <si>
    <t xml:space="preserve">Kultura fizyczna </t>
  </si>
  <si>
    <t>2701</t>
  </si>
  <si>
    <t>Kultura fizyczna</t>
  </si>
  <si>
    <t>wydatki na programy finansowane z udziałem środków o których mowa w art. 5 ust. 1 pkt 2 i 3</t>
  </si>
  <si>
    <t>Urzędy gmin (miast i miast na prawach powiatu)</t>
  </si>
  <si>
    <t>Dotacje celowe otrzymane z budżetu na realizację zadań bieżących z zakresu administracji rządowej oraz innych zadań zleconych gminie ustawami</t>
  </si>
  <si>
    <t xml:space="preserve">Dochody z najmu, dzierżawy składników majątkowych SP, JST lub innych jednostek zaliczanych do sektora finansów publicznych oraz innych umów o podobnym charakterze </t>
  </si>
  <si>
    <t>Wpływy z innych lokalnych opłat pobieranych przez JST na podstawie odrębnych ustaw</t>
  </si>
  <si>
    <t xml:space="preserve">Część oświatowa subwencji ogólnej dla JST </t>
  </si>
  <si>
    <t xml:space="preserve">Dotacje celowe otrzymane z gminy na zadania bieżące realizowane na podstawie porozumień (umów) między JST </t>
  </si>
  <si>
    <t>Dotacje celowe przekazane gminie na zadania bieżące realizowane na podstawie zawartych porozumień</t>
  </si>
  <si>
    <t>Rodziny zastępcze</t>
  </si>
  <si>
    <t>Zadania w zakresie przeciwdziałania przemocy w rodzinie</t>
  </si>
  <si>
    <t>85205</t>
  </si>
  <si>
    <t>Gospodarka odpadami</t>
  </si>
  <si>
    <t>90002</t>
  </si>
  <si>
    <t>92195</t>
  </si>
  <si>
    <t>Zakup usług przez jednostki samorządu  terytorialnego od innych jednostek samorządu terytorialnego</t>
  </si>
  <si>
    <t>Zakup usług obejmujących tłumaczenia</t>
  </si>
  <si>
    <t>4380</t>
  </si>
  <si>
    <t>Komendy powiatowe Państwowej Straży Pożarnej</t>
  </si>
  <si>
    <t>75411</t>
  </si>
  <si>
    <t>Wpłaty jednostek na państwowy fundusz celowy na finansowanie i dofinansowanie zadań inwestycyjnych</t>
  </si>
  <si>
    <t>2820</t>
  </si>
  <si>
    <t>Straż gminna (miejska)</t>
  </si>
  <si>
    <t>75416</t>
  </si>
  <si>
    <t>Odsetki od samorządowych papierów wartościowych lub zaciągniętych przez jednostkę samorządu terytorialnego kredytów i pożyczek</t>
  </si>
  <si>
    <t>8110</t>
  </si>
  <si>
    <t>6170</t>
  </si>
  <si>
    <t>6300</t>
  </si>
  <si>
    <t>Rekompensaty utraconych dochodów w podatkach i opłatach lokalnych</t>
  </si>
  <si>
    <t>2680</t>
  </si>
  <si>
    <t>754</t>
  </si>
  <si>
    <t>Drogi publiczne krajowe</t>
  </si>
  <si>
    <t>60011</t>
  </si>
  <si>
    <t>Wydatki na zakupy inwestycyjne jednostek budżetowych</t>
  </si>
  <si>
    <t>Promocja jednostek samorządu terytorialnego</t>
  </si>
  <si>
    <t>Wspieranie rodziny</t>
  </si>
  <si>
    <t>90003</t>
  </si>
  <si>
    <t>Jednostki specjalistycznego poradnictwa, mieszka- nia chronione i ośrodki interwencji kryzysowej</t>
  </si>
  <si>
    <t>4570</t>
  </si>
  <si>
    <t>Wydatki osobowe niezliczone do wynagrodzemia</t>
  </si>
  <si>
    <t>90005</t>
  </si>
  <si>
    <t>6220</t>
  </si>
  <si>
    <t>Komendy powiatowe Policji</t>
  </si>
  <si>
    <t>Świadczenia rodzinne, świadczenia z funduszu alimentacyjnego oraz składki na ubezpieczenie emerytalne i rentowe z ubezpieczenia społecznego</t>
  </si>
  <si>
    <t>4580</t>
  </si>
  <si>
    <t>Odsetki od nieterminowych wpłat z tytułu pozostałych podatków i opłat</t>
  </si>
  <si>
    <t>Ochrona powietrza atmosferycznego i kilmatu</t>
  </si>
  <si>
    <t>71035</t>
  </si>
  <si>
    <t>Cmentarze</t>
  </si>
  <si>
    <t>92120</t>
  </si>
  <si>
    <t>Ochrona zabytków i opieka nad zabytkami</t>
  </si>
  <si>
    <t>Dotacje celowe z budżetu na finansowanie lub dofinansowanie prac remontowych i konserwatorskich obiektów zabytkowych przekazane jednostkom niezaliczonym do sektora finansów publicznych</t>
  </si>
  <si>
    <t>2720</t>
  </si>
  <si>
    <t>4190</t>
  </si>
  <si>
    <t>80149</t>
  </si>
  <si>
    <t>80150</t>
  </si>
  <si>
    <t>Dodtkowe wynagrodzenia roczne</t>
  </si>
  <si>
    <t>Nagrody konkursowe</t>
  </si>
  <si>
    <t>Opłaty z tytułu zakupu usług telekomunikacyjnych</t>
  </si>
  <si>
    <t>75405</t>
  </si>
  <si>
    <t>Realizacja zadań wymagających stosowania specjalnej organizacji nauki i metod pracy dla dzieci i młodzieży w szkołach podstawowych, gimnazjach, liceach ogólnokształcących, liceach profilowanych i szkołach zawodowych oraz szkołach artystycznych</t>
  </si>
  <si>
    <t>Opłaty na rzecz jednostek samorządu terytorialnego</t>
  </si>
  <si>
    <t>Udział % w wydatkach majątko-   wych</t>
  </si>
  <si>
    <t xml:space="preserve">Wpływy z opłat za zezwolenie na sprzedaż napojów alkoholowych </t>
  </si>
  <si>
    <t xml:space="preserve">Opłaty z tytułu zakupu usług telekomunikacyjnych </t>
  </si>
  <si>
    <t xml:space="preserve">Opłata z tytułu zakupu usług telekomunikacyjnych </t>
  </si>
  <si>
    <t>Dotacje celowe z budżetu na finansowanie lub dofinanso- wanie kosztów realizacji inwestycji i zakupów inwestycyjnych innych jednostek sektora finansów publicznych</t>
  </si>
  <si>
    <t xml:space="preserve">Składki na ubezpieczenie zdrowotne opłacane za osoby pobierające niektóre świadczenia z pomocy społecznej, niektóre świadczenia rodzinne oraz za osoby uczestni czące w zajęciach w centrum integracji społecznej </t>
  </si>
  <si>
    <t>75108</t>
  </si>
  <si>
    <t>75110</t>
  </si>
  <si>
    <t>Wybory do Sejmu i Senatu</t>
  </si>
  <si>
    <t>Referenda ogólnokrajowe i konstytucyjne</t>
  </si>
  <si>
    <t>Dotacja celowa z budżetu na finansowanie lub dofinansowa- nie zadań zleconych do realizacji stowarzyszeniom</t>
  </si>
  <si>
    <t>Dotacja celowa na pomoc finansową udzielaną między jednostkami samorządu terytorialnego na dofinansowanie własnych zadań inwestycyjnych i zakupów inwestycyjnych</t>
  </si>
  <si>
    <t>8030</t>
  </si>
  <si>
    <t>Zobowiązania wymagalne wg stanu na dzień 31.12.16r.</t>
  </si>
  <si>
    <t xml:space="preserve">Wpływy z opłat za trwały zarząd, użytkowanie i służebności </t>
  </si>
  <si>
    <t>0550</t>
  </si>
  <si>
    <t>Wpływy z opłat z tytułu użytkowania wieczystego nieruchomości</t>
  </si>
  <si>
    <t>Wpływy z pozostałych odsetek</t>
  </si>
  <si>
    <t>0660</t>
  </si>
  <si>
    <t>Wpływy z opłat za korzystanie z wychowania przedszkolnego</t>
  </si>
  <si>
    <t>0670</t>
  </si>
  <si>
    <t>Wpływy z opłat za korzystanie z wyżywienia w jednostkach realizujących zadania z zakresu wychowania przedszkolnego</t>
  </si>
  <si>
    <t>Doracje celowe otrzymane z budżetu państwa na realizację własnych zadań bieżących gmin</t>
  </si>
  <si>
    <t>75095</t>
  </si>
  <si>
    <t>2060</t>
  </si>
  <si>
    <t>0580</t>
  </si>
  <si>
    <t>2800</t>
  </si>
  <si>
    <t>Dotacja celowa budżetu dla pozostałych jednostek zaliczanych do sektora finansów publicznych</t>
  </si>
  <si>
    <t>Dotacja celowa otrzymana z tytułu pomocy finansowej udzielanej między jednostkami samorządu terytorialnego na dofinansowanie własnych zadań inwestycyjnych i zakupów inwestycyjnych</t>
  </si>
  <si>
    <t>Świadczenie wychowawcze</t>
  </si>
  <si>
    <t xml:space="preserve">Realizacja zadań wymagających stosowania specjalnej organizacji nauki i metod pracy  dla dzieci w przedszko- lach, oddziałach przedszkolnych w szkołach podstawowych i innych formach wychowania przedszkolnego </t>
  </si>
  <si>
    <t>Dotacje celowe z budżetu państwa na zadania bieżące z zakresu administracji rządowej zlecone gminie, związane z realizacją świadczenia wychowawczego stanowiącego pomoc państwa w wychowaniu dzieci</t>
  </si>
  <si>
    <t xml:space="preserve">Składki na ubezpieczenie zdrowotne opłacane za osoby pobierające niektóre świadczenia z pomocy społecznej, niektóre świadczenia rodzinne oraz za osoby uczestni- czące w zajęciach w centrum integracji społecznej </t>
  </si>
  <si>
    <t>Wpływy z tytułu grzywien i innych kar pieniężnych od osób prawnych i innych jednostek organizacyjnych</t>
  </si>
  <si>
    <t xml:space="preserve">                                                                                                                                        </t>
  </si>
  <si>
    <t>Zakup środków dydaktycznych i książek</t>
  </si>
  <si>
    <t>Pomoc w zakresie dożywiania</t>
  </si>
  <si>
    <t>85230</t>
  </si>
  <si>
    <t>2057</t>
  </si>
  <si>
    <t>2059</t>
  </si>
  <si>
    <t>Rodzina</t>
  </si>
  <si>
    <t>855</t>
  </si>
  <si>
    <t>85501</t>
  </si>
  <si>
    <t>Świadczenia rodzinne, świadczenie z funduszu alimentacyjnego oraz składki na ubezpieczenia emerytalne i rentowe z ubezpieczenia społecznego</t>
  </si>
  <si>
    <t>85502</t>
  </si>
  <si>
    <t>Wpływy z tytułu kosztów egzekucyjnych, opłaty komorniczej i kosztów upomnień</t>
  </si>
  <si>
    <t>0640</t>
  </si>
  <si>
    <t>Wpływy z rozliczeń/zwrotów z lat ubiegłych</t>
  </si>
  <si>
    <t>0940</t>
  </si>
  <si>
    <t>Wpływy z tytułu kar i odszkodowań wynikających z umów</t>
  </si>
  <si>
    <t>0950</t>
  </si>
  <si>
    <t>0610</t>
  </si>
  <si>
    <t>Karta dużej rodziny</t>
  </si>
  <si>
    <t>85503</t>
  </si>
  <si>
    <t>Wpływy z podatku od działalności gospodarczej osób fizycznych, opłacany w formie karty podatkowej</t>
  </si>
  <si>
    <t>Wpływy z odsetek od nieterminowych wpłat podatków i opłat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</si>
  <si>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</si>
  <si>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</si>
  <si>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</si>
  <si>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</si>
  <si>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czynności cywilnoprawnych</t>
  </si>
  <si>
    <t>Wpływy z podatku od spadków i darowizn</t>
  </si>
  <si>
    <t>Wpływy z opłaty od posiadania psów</t>
  </si>
  <si>
    <t>Środki otrzymane od pozostałych jednostek sektora finansów publicznych na realizacje zadań bieżących jednostek zaliczanych do sektora finansów publicznych</t>
  </si>
  <si>
    <t>Rezerwy na inwestycje i zakupy inwestycyjne</t>
  </si>
  <si>
    <t>6800</t>
  </si>
  <si>
    <t>Podatek od towarów i usług (VAT)</t>
  </si>
  <si>
    <t>4019</t>
  </si>
  <si>
    <t>4119</t>
  </si>
  <si>
    <t>4129</t>
  </si>
  <si>
    <t xml:space="preserve">Pomoc w zakresie dożywiania </t>
  </si>
  <si>
    <t>4017</t>
  </si>
  <si>
    <t>4117</t>
  </si>
  <si>
    <t>4127</t>
  </si>
  <si>
    <t>4217</t>
  </si>
  <si>
    <t>4219</t>
  </si>
  <si>
    <t>4447</t>
  </si>
  <si>
    <t>4449</t>
  </si>
  <si>
    <t>Wydatki osobowe niezaliczane do wynagrodzeń</t>
  </si>
  <si>
    <t>Pomoc materialna dla uczniów o charakterze socjalnym</t>
  </si>
  <si>
    <t>Pomoc materialna dla uczniów o charakterze motywacyjnym</t>
  </si>
  <si>
    <t>85416</t>
  </si>
  <si>
    <t xml:space="preserve">Szkolenia pracowmików niebędących członkami korpusu służby cywilnej </t>
  </si>
  <si>
    <t>85504</t>
  </si>
  <si>
    <t>85508</t>
  </si>
  <si>
    <t>Działalność placówek opiekuńczo-wychowawczych</t>
  </si>
  <si>
    <t>85510</t>
  </si>
  <si>
    <t>900</t>
  </si>
  <si>
    <t>Kary odszkodowania i grzywny wypłacone na rzecz osób prawnych i innych jednostek organizacyjnych</t>
  </si>
  <si>
    <t>4600</t>
  </si>
  <si>
    <t>Dotacje celowe przekazane gminie na zadania bieżące realizowane na podstawie zawartych porozumień między jednostkami samorządu terytorialnego</t>
  </si>
  <si>
    <t xml:space="preserve">Dotacje celowe przekazane gminie na zadania bieżące realizowane na podstawie porozumień między jednostkami samorządu terytorialnego </t>
  </si>
  <si>
    <t>4177</t>
  </si>
  <si>
    <t>4247</t>
  </si>
  <si>
    <t>4427</t>
  </si>
  <si>
    <t>4707</t>
  </si>
  <si>
    <t>Programy polityki zdrowotnej</t>
  </si>
  <si>
    <t>85149</t>
  </si>
  <si>
    <t>Dotacja celowa przekazana z budżetu jednostki samorządu terytorialnego na dofinansowanie realizacji zadań w zakresie programów polityki zdrowotnej</t>
  </si>
  <si>
    <t>2780</t>
  </si>
  <si>
    <t>3027</t>
  </si>
  <si>
    <t>3029</t>
  </si>
  <si>
    <t>Karta Dużej Rodziny</t>
  </si>
  <si>
    <t>Wpływy z tytułu odsetek od nieterminowych wpłat z tytułu podatków i opłat</t>
  </si>
  <si>
    <t>Kwota należności wymagalnych na koniec           I półrocza 2018 roku</t>
  </si>
  <si>
    <t>Plan wg uchwały         Nr XXIII/191/2017</t>
  </si>
  <si>
    <t xml:space="preserve">Dotacje celowe w ramach programów finansowanych z udziałem środków europejskich oraz środków o których mowa w art. 5 ust. 1 pkt 3 oraz ust. 3 pkt 5 i 6 ustawy lub płatności w ramach budżetu środków europejskich, realizowanych przez JST </t>
  </si>
  <si>
    <t>6257</t>
  </si>
  <si>
    <t>75412</t>
  </si>
  <si>
    <t>Dotacje otrzymane z państwowych funduszy celowych na realizację zadań bieżących jednostek samorządu terytorialnego</t>
  </si>
  <si>
    <t>2440</t>
  </si>
  <si>
    <t>80153</t>
  </si>
  <si>
    <t>Programy polityki społecznej</t>
  </si>
  <si>
    <t>Wpływy ze zwrotów dotacji oraz płatności wykorzystanych niezgodnie z przeznaczeniem lub wykorzystanych z naruszeniem procedur, o których mowa w art.. 184 ustawy, pobranych nienależnie lub w nadmiernej wysokości</t>
  </si>
  <si>
    <t xml:space="preserve">Dotacje celowe w ramach programów finansowanych z udziałem środków europejskich oraz środków o których mowa w art. 5 ust. 1 pkt 3 oraz ust. 3 pkt 5 i 6 ustawy lub płatności w ramach budżetu środków europejskich realizowanych przez jedn.samorządu terytorialnego 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</si>
  <si>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</si>
  <si>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</si>
  <si>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90015</t>
  </si>
  <si>
    <t>Wpływy ze zwrotów niewykorzystanych dotacji oraz płatności</t>
  </si>
  <si>
    <t>2950</t>
  </si>
  <si>
    <t>92695</t>
  </si>
  <si>
    <t>Zapewnienie uczniom prawa do bezpłatnego dostępu do podręczników, materiałów edukacyjnych lub materiałów ćwiczeniowych</t>
  </si>
  <si>
    <t>Dotacje celowe przekazane gminie  na zadania bieżące realizowane na podstawie porozumień (umów)między jednostkami samorządu terytorialnego</t>
  </si>
  <si>
    <t>Dotacje celowe z budżetu na finansowanie lub dofinanasowanie kosztów realizacji inwestycji i zakupów inwestycyjnych jednostek nie zaliczanych do sektora finansów publicznych</t>
  </si>
  <si>
    <t>6230</t>
  </si>
  <si>
    <t xml:space="preserve">Opłata  na rzecz budżetu państwa </t>
  </si>
  <si>
    <t>80152</t>
  </si>
  <si>
    <t>Składki na ubezpiecznie społeczne</t>
  </si>
  <si>
    <t>4047</t>
  </si>
  <si>
    <t>4049</t>
  </si>
  <si>
    <t>Szkolenia pracowników nie będących członkami korpusu służby cywilnej</t>
  </si>
  <si>
    <t>60095</t>
  </si>
  <si>
    <t>Wydatki na zakuoy inwestycyjne jednostek budżetowych</t>
  </si>
  <si>
    <t>4197</t>
  </si>
  <si>
    <t>4179</t>
  </si>
  <si>
    <t>4287</t>
  </si>
  <si>
    <t>4289</t>
  </si>
  <si>
    <t>4437</t>
  </si>
  <si>
    <t>4439</t>
  </si>
  <si>
    <t>Ochrona powietrza admosferycznego i klimatu</t>
  </si>
  <si>
    <t>Schroniska dla zwierząt</t>
  </si>
  <si>
    <t>90013</t>
  </si>
  <si>
    <t xml:space="preserve">Radziejów, dnia  17.08.2018 r. </t>
  </si>
  <si>
    <t>Wpływy z opłat egzaminacyjnych oraz opłat za wydanie świadectw, dyplomów, zaświadczeń, certyfikatów i ich duplikatów</t>
  </si>
  <si>
    <t xml:space="preserve">Radziejów, dnia 17.08.2018 r. </t>
  </si>
  <si>
    <t xml:space="preserve">Dotacje celowe z budżetu na finansowanie lub dofinansowanie kosztów realizacji inwestycji i zakupów inwestycyjnych jednostek niezaliczanych do sektora finansów publicznych </t>
  </si>
  <si>
    <t xml:space="preserve">Realizacja zadań wymagających stosowania specjalnej organizacji nauki i metod pracy  dla dzieci w przedszkolach, oddziałach przedszkolnych w szkołach podstawowych i innych formach wychowania przedszkolnego </t>
  </si>
  <si>
    <t>Realizacja zadań wymagających stosowania specjalnej organizacji nauki i metod pracy  dla dzieci i młodzieży w szkołach podstawowych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</si>
  <si>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</si>
  <si>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Zapewnienie uczniom prawa do bezpłatnego dostępu do podręczników,materiałów edukacyjnych lub materiałów ćwiczeniowych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</si>
</sst>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4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i/>
      <sz val="8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9"/>
      <name val="Arial CE"/>
      <family val="0"/>
    </font>
    <font>
      <b/>
      <i/>
      <sz val="9"/>
      <name val="Arial"/>
      <family val="2"/>
    </font>
    <font>
      <b/>
      <sz val="7"/>
      <name val="Arial"/>
      <family val="2"/>
    </font>
    <font>
      <b/>
      <i/>
      <sz val="9"/>
      <name val="Arial CE"/>
      <family val="0"/>
    </font>
    <font>
      <b/>
      <i/>
      <sz val="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0"/>
      <color rgb="FFFF0000"/>
      <name val="Arial CE"/>
      <family val="0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 CE"/>
      <family val="0"/>
    </font>
    <font>
      <b/>
      <i/>
      <sz val="10"/>
      <color theme="1"/>
      <name val="Arial CE"/>
      <family val="0"/>
    </font>
    <font>
      <sz val="9"/>
      <color theme="1"/>
      <name val="Arial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3" fillId="33" borderId="10" xfId="51" applyFont="1" applyFill="1" applyBorder="1" applyAlignment="1">
      <alignment vertical="center"/>
      <protection/>
    </xf>
    <xf numFmtId="49" fontId="3" fillId="0" borderId="10" xfId="51" applyNumberFormat="1" applyFont="1" applyBorder="1" applyAlignment="1">
      <alignment horizontal="center" vertical="center"/>
      <protection/>
    </xf>
    <xf numFmtId="49" fontId="2" fillId="0" borderId="10" xfId="51" applyNumberFormat="1" applyBorder="1" applyAlignment="1">
      <alignment horizontal="center" vertical="center"/>
      <protection/>
    </xf>
    <xf numFmtId="0" fontId="2" fillId="33" borderId="10" xfId="51" applyFill="1" applyBorder="1" applyAlignment="1">
      <alignment vertical="center" wrapText="1"/>
      <protection/>
    </xf>
    <xf numFmtId="0" fontId="3" fillId="33" borderId="10" xfId="51" applyFont="1" applyFill="1" applyBorder="1" applyAlignment="1">
      <alignment vertical="center" wrapText="1"/>
      <protection/>
    </xf>
    <xf numFmtId="0" fontId="2" fillId="33" borderId="10" xfId="51" applyFont="1" applyFill="1" applyBorder="1" applyAlignment="1">
      <alignment vertical="center" wrapText="1"/>
      <protection/>
    </xf>
    <xf numFmtId="49" fontId="2" fillId="0" borderId="10" xfId="51" applyNumberFormat="1" applyFont="1" applyBorder="1" applyAlignment="1">
      <alignment horizontal="center" vertical="center"/>
      <protection/>
    </xf>
    <xf numFmtId="0" fontId="3" fillId="33" borderId="10" xfId="51" applyFont="1" applyFill="1" applyBorder="1" applyAlignment="1">
      <alignment vertical="center" wrapText="1"/>
      <protection/>
    </xf>
    <xf numFmtId="49" fontId="3" fillId="33" borderId="10" xfId="51" applyNumberFormat="1" applyFont="1" applyFill="1" applyBorder="1" applyAlignment="1">
      <alignment horizontal="center" vertical="center"/>
      <protection/>
    </xf>
    <xf numFmtId="49" fontId="2" fillId="0" borderId="10" xfId="51" applyNumberFormat="1" applyFont="1" applyBorder="1" applyAlignment="1">
      <alignment horizontal="center" vertical="center"/>
      <protection/>
    </xf>
    <xf numFmtId="0" fontId="2" fillId="33" borderId="10" xfId="51" applyFont="1" applyFill="1" applyBorder="1" applyAlignment="1">
      <alignment vertical="center"/>
      <protection/>
    </xf>
    <xf numFmtId="0" fontId="2" fillId="33" borderId="10" xfId="51" applyFont="1" applyFill="1" applyBorder="1" applyAlignment="1">
      <alignment vertical="center" wrapText="1"/>
      <protection/>
    </xf>
    <xf numFmtId="0" fontId="4" fillId="33" borderId="10" xfId="51" applyFont="1" applyFill="1" applyBorder="1" applyAlignment="1">
      <alignment vertical="center" wrapText="1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vertical="center"/>
      <protection/>
    </xf>
    <xf numFmtId="49" fontId="3" fillId="0" borderId="10" xfId="52" applyNumberFormat="1" applyFont="1" applyBorder="1" applyAlignment="1">
      <alignment horizontal="center" vertical="center"/>
      <protection/>
    </xf>
    <xf numFmtId="0" fontId="2" fillId="33" borderId="10" xfId="52" applyFill="1" applyBorder="1" applyAlignment="1">
      <alignment vertical="center"/>
      <protection/>
    </xf>
    <xf numFmtId="49" fontId="2" fillId="0" borderId="10" xfId="52" applyNumberFormat="1" applyBorder="1" applyAlignment="1">
      <alignment horizontal="center" vertical="center"/>
      <protection/>
    </xf>
    <xf numFmtId="0" fontId="2" fillId="33" borderId="10" xfId="52" applyFill="1" applyBorder="1" applyAlignment="1">
      <alignment vertical="center" wrapText="1"/>
      <protection/>
    </xf>
    <xf numFmtId="0" fontId="3" fillId="33" borderId="10" xfId="52" applyFont="1" applyFill="1" applyBorder="1" applyAlignment="1">
      <alignment vertical="center" wrapText="1"/>
      <protection/>
    </xf>
    <xf numFmtId="49" fontId="2" fillId="0" borderId="10" xfId="52" applyNumberFormat="1" applyFont="1" applyBorder="1" applyAlignment="1">
      <alignment horizontal="center" vertical="center"/>
      <protection/>
    </xf>
    <xf numFmtId="0" fontId="4" fillId="33" borderId="10" xfId="52" applyFont="1" applyFill="1" applyBorder="1" applyAlignment="1">
      <alignment vertical="center" wrapText="1"/>
      <protection/>
    </xf>
    <xf numFmtId="0" fontId="2" fillId="33" borderId="10" xfId="52" applyFont="1" applyFill="1" applyBorder="1" applyAlignment="1">
      <alignment vertical="center" wrapText="1"/>
      <protection/>
    </xf>
    <xf numFmtId="0" fontId="5" fillId="33" borderId="10" xfId="52" applyFont="1" applyFill="1" applyBorder="1" applyAlignment="1">
      <alignment vertical="center" wrapText="1"/>
      <protection/>
    </xf>
    <xf numFmtId="49" fontId="6" fillId="33" borderId="10" xfId="52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" fillId="33" borderId="10" xfId="52" applyFont="1" applyFill="1" applyBorder="1" applyAlignment="1">
      <alignment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 wrapText="1"/>
      <protection/>
    </xf>
    <xf numFmtId="10" fontId="3" fillId="0" borderId="10" xfId="52" applyNumberFormat="1" applyFont="1" applyBorder="1" applyAlignment="1">
      <alignment vertical="center"/>
      <protection/>
    </xf>
    <xf numFmtId="0" fontId="2" fillId="33" borderId="10" xfId="52" applyFont="1" applyFill="1" applyBorder="1" applyAlignment="1">
      <alignment vertical="center" wrapText="1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0" xfId="51" applyNumberFormat="1" applyBorder="1" applyAlignment="1">
      <alignment horizontal="center" vertical="center" wrapText="1"/>
      <protection/>
    </xf>
    <xf numFmtId="49" fontId="3" fillId="0" borderId="10" xfId="51" applyNumberFormat="1" applyFont="1" applyBorder="1" applyAlignment="1">
      <alignment horizontal="center" vertical="center"/>
      <protection/>
    </xf>
    <xf numFmtId="49" fontId="2" fillId="0" borderId="10" xfId="51" applyNumberFormat="1" applyFont="1" applyBorder="1" applyAlignment="1">
      <alignment horizontal="center" vertical="center"/>
      <protection/>
    </xf>
    <xf numFmtId="0" fontId="2" fillId="33" borderId="10" xfId="51" applyFont="1" applyFill="1" applyBorder="1" applyAlignment="1">
      <alignment vertical="center" wrapText="1"/>
      <protection/>
    </xf>
    <xf numFmtId="10" fontId="2" fillId="0" borderId="10" xfId="51" applyNumberFormat="1" applyFont="1" applyBorder="1" applyAlignment="1">
      <alignment vertical="center"/>
      <protection/>
    </xf>
    <xf numFmtId="4" fontId="2" fillId="0" borderId="10" xfId="52" applyNumberFormat="1" applyFont="1" applyBorder="1" applyAlignment="1">
      <alignment vertical="center"/>
      <protection/>
    </xf>
    <xf numFmtId="4" fontId="3" fillId="0" borderId="10" xfId="52" applyNumberFormat="1" applyFont="1" applyBorder="1" applyAlignment="1">
      <alignment horizontal="right" vertical="center"/>
      <protection/>
    </xf>
    <xf numFmtId="4" fontId="2" fillId="0" borderId="10" xfId="52" applyNumberFormat="1" applyFont="1" applyBorder="1" applyAlignment="1">
      <alignment horizontal="right" vertical="center"/>
      <protection/>
    </xf>
    <xf numFmtId="4" fontId="2" fillId="0" borderId="10" xfId="52" applyNumberFormat="1" applyFont="1" applyBorder="1" applyAlignment="1">
      <alignment horizontal="right" vertical="center"/>
      <protection/>
    </xf>
    <xf numFmtId="4" fontId="2" fillId="0" borderId="10" xfId="52" applyNumberFormat="1" applyFont="1" applyBorder="1" applyAlignment="1">
      <alignment vertical="center"/>
      <protection/>
    </xf>
    <xf numFmtId="4" fontId="2" fillId="0" borderId="10" xfId="52" applyNumberFormat="1" applyFont="1" applyBorder="1" applyAlignment="1">
      <alignment vertical="center"/>
      <protection/>
    </xf>
    <xf numFmtId="4" fontId="0" fillId="0" borderId="0" xfId="0" applyNumberFormat="1" applyFont="1" applyAlignment="1">
      <alignment/>
    </xf>
    <xf numFmtId="4" fontId="2" fillId="0" borderId="10" xfId="52" applyNumberFormat="1" applyBorder="1" applyAlignment="1">
      <alignment horizontal="right" vertical="center"/>
      <protection/>
    </xf>
    <xf numFmtId="0" fontId="3" fillId="33" borderId="10" xfId="52" applyFont="1" applyFill="1" applyBorder="1" applyAlignment="1">
      <alignment vertical="center"/>
      <protection/>
    </xf>
    <xf numFmtId="49" fontId="3" fillId="0" borderId="10" xfId="52" applyNumberFormat="1" applyFont="1" applyBorder="1" applyAlignment="1">
      <alignment horizontal="center" vertical="center"/>
      <protection/>
    </xf>
    <xf numFmtId="4" fontId="3" fillId="0" borderId="10" xfId="52" applyNumberFormat="1" applyFont="1" applyBorder="1" applyAlignment="1">
      <alignment vertical="center"/>
      <protection/>
    </xf>
    <xf numFmtId="0" fontId="10" fillId="0" borderId="0" xfId="0" applyFont="1" applyAlignment="1">
      <alignment/>
    </xf>
    <xf numFmtId="3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2" fillId="0" borderId="10" xfId="52" applyNumberFormat="1" applyBorder="1" applyAlignment="1">
      <alignment vertical="center"/>
      <protection/>
    </xf>
    <xf numFmtId="4" fontId="3" fillId="0" borderId="10" xfId="51" applyNumberFormat="1" applyFont="1" applyBorder="1" applyAlignment="1">
      <alignment vertical="center"/>
      <protection/>
    </xf>
    <xf numFmtId="4" fontId="2" fillId="0" borderId="10" xfId="51" applyNumberFormat="1" applyBorder="1" applyAlignment="1">
      <alignment vertical="center"/>
      <protection/>
    </xf>
    <xf numFmtId="4" fontId="3" fillId="0" borderId="10" xfId="51" applyNumberFormat="1" applyFont="1" applyBorder="1" applyAlignment="1">
      <alignment horizontal="right" vertical="center"/>
      <protection/>
    </xf>
    <xf numFmtId="4" fontId="2" fillId="0" borderId="10" xfId="51" applyNumberFormat="1" applyBorder="1" applyAlignment="1">
      <alignment horizontal="right" vertical="center"/>
      <protection/>
    </xf>
    <xf numFmtId="4" fontId="3" fillId="0" borderId="10" xfId="51" applyNumberFormat="1" applyFont="1" applyBorder="1" applyAlignment="1">
      <alignment vertical="center"/>
      <protection/>
    </xf>
    <xf numFmtId="4" fontId="2" fillId="0" borderId="10" xfId="51" applyNumberFormat="1" applyFont="1" applyBorder="1" applyAlignment="1">
      <alignment vertical="center"/>
      <protection/>
    </xf>
    <xf numFmtId="4" fontId="2" fillId="0" borderId="10" xfId="51" applyNumberFormat="1" applyFont="1" applyBorder="1" applyAlignment="1">
      <alignment vertical="center"/>
      <protection/>
    </xf>
    <xf numFmtId="4" fontId="2" fillId="0" borderId="10" xfId="51" applyNumberFormat="1" applyFont="1" applyBorder="1" applyAlignment="1">
      <alignment vertical="center"/>
      <protection/>
    </xf>
    <xf numFmtId="4" fontId="0" fillId="0" borderId="0" xfId="0" applyNumberFormat="1" applyAlignment="1">
      <alignment/>
    </xf>
    <xf numFmtId="4" fontId="2" fillId="0" borderId="10" xfId="51" applyNumberFormat="1" applyBorder="1">
      <alignment/>
      <protection/>
    </xf>
    <xf numFmtId="4" fontId="3" fillId="0" borderId="10" xfId="51" applyNumberFormat="1" applyFont="1" applyBorder="1">
      <alignment/>
      <protection/>
    </xf>
    <xf numFmtId="4" fontId="3" fillId="0" borderId="10" xfId="51" applyNumberFormat="1" applyFont="1" applyBorder="1">
      <alignment/>
      <protection/>
    </xf>
    <xf numFmtId="4" fontId="2" fillId="0" borderId="10" xfId="51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51" applyFont="1" applyFill="1" applyBorder="1" applyAlignment="1">
      <alignment vertical="center" wrapText="1"/>
      <protection/>
    </xf>
    <xf numFmtId="49" fontId="3" fillId="0" borderId="10" xfId="51" applyNumberFormat="1" applyFont="1" applyBorder="1" applyAlignment="1">
      <alignment horizontal="center" vertical="center"/>
      <protection/>
    </xf>
    <xf numFmtId="4" fontId="2" fillId="0" borderId="10" xfId="51" applyNumberFormat="1" applyFont="1" applyBorder="1" applyAlignment="1">
      <alignment horizontal="right" vertical="center"/>
      <protection/>
    </xf>
    <xf numFmtId="4" fontId="3" fillId="0" borderId="10" xfId="51" applyNumberFormat="1" applyFont="1" applyBorder="1" applyAlignment="1">
      <alignment horizontal="right" vertical="center"/>
      <protection/>
    </xf>
    <xf numFmtId="4" fontId="2" fillId="0" borderId="10" xfId="51" applyNumberFormat="1" applyBorder="1" applyAlignment="1">
      <alignment horizontal="right"/>
      <protection/>
    </xf>
    <xf numFmtId="10" fontId="0" fillId="0" borderId="0" xfId="0" applyNumberFormat="1" applyFont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2" fillId="33" borderId="10" xfId="52" applyFont="1" applyFill="1" applyBorder="1" applyAlignment="1">
      <alignment vertical="center"/>
      <protection/>
    </xf>
    <xf numFmtId="0" fontId="3" fillId="33" borderId="10" xfId="52" applyFont="1" applyFill="1" applyBorder="1" applyAlignment="1">
      <alignment vertical="center" wrapText="1"/>
      <protection/>
    </xf>
    <xf numFmtId="49" fontId="3" fillId="0" borderId="10" xfId="52" applyNumberFormat="1" applyFont="1" applyBorder="1" applyAlignment="1">
      <alignment horizontal="center" vertical="center"/>
      <protection/>
    </xf>
    <xf numFmtId="4" fontId="2" fillId="0" borderId="0" xfId="52" applyNumberFormat="1" applyFont="1" applyBorder="1" applyAlignment="1">
      <alignment vertical="center"/>
      <protection/>
    </xf>
    <xf numFmtId="4" fontId="0" fillId="0" borderId="0" xfId="0" applyNumberFormat="1" applyBorder="1" applyAlignment="1">
      <alignment/>
    </xf>
    <xf numFmtId="4" fontId="3" fillId="0" borderId="10" xfId="52" applyNumberFormat="1" applyFont="1" applyBorder="1" applyAlignment="1">
      <alignment vertical="center"/>
      <protection/>
    </xf>
    <xf numFmtId="4" fontId="66" fillId="0" borderId="10" xfId="52" applyNumberFormat="1" applyFont="1" applyBorder="1" applyAlignment="1">
      <alignment vertical="center"/>
      <protection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13" fillId="33" borderId="10" xfId="52" applyFont="1" applyFill="1" applyBorder="1" applyAlignment="1">
      <alignment vertical="center" wrapText="1"/>
      <protection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10" fontId="13" fillId="0" borderId="10" xfId="52" applyNumberFormat="1" applyFont="1" applyBorder="1" applyAlignment="1">
      <alignment vertical="center"/>
      <protection/>
    </xf>
    <xf numFmtId="10" fontId="0" fillId="0" borderId="10" xfId="0" applyNumberFormat="1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" fontId="2" fillId="0" borderId="10" xfId="51" applyNumberFormat="1" applyFont="1" applyBorder="1" applyAlignment="1">
      <alignment horizontal="right" vertical="center"/>
      <protection/>
    </xf>
    <xf numFmtId="4" fontId="3" fillId="0" borderId="10" xfId="51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2" fillId="0" borderId="10" xfId="52" applyNumberFormat="1" applyFont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49" fontId="16" fillId="0" borderId="10" xfId="51" applyNumberFormat="1" applyFont="1" applyBorder="1" applyAlignment="1">
      <alignment horizontal="center" vertical="center"/>
      <protection/>
    </xf>
    <xf numFmtId="4" fontId="16" fillId="0" borderId="10" xfId="51" applyNumberFormat="1" applyFont="1" applyBorder="1" applyAlignment="1">
      <alignment vertical="center"/>
      <protection/>
    </xf>
    <xf numFmtId="0" fontId="17" fillId="0" borderId="0" xfId="0" applyFont="1" applyAlignment="1">
      <alignment/>
    </xf>
    <xf numFmtId="0" fontId="16" fillId="33" borderId="10" xfId="51" applyFont="1" applyFill="1" applyBorder="1" applyAlignment="1">
      <alignment vertical="center" wrapText="1"/>
      <protection/>
    </xf>
    <xf numFmtId="4" fontId="16" fillId="0" borderId="10" xfId="51" applyNumberFormat="1" applyFont="1" applyBorder="1">
      <alignment/>
      <protection/>
    </xf>
    <xf numFmtId="49" fontId="13" fillId="0" borderId="10" xfId="51" applyNumberFormat="1" applyFont="1" applyBorder="1" applyAlignment="1">
      <alignment horizontal="center" vertical="center"/>
      <protection/>
    </xf>
    <xf numFmtId="49" fontId="16" fillId="0" borderId="10" xfId="51" applyNumberFormat="1" applyFont="1" applyBorder="1" applyAlignment="1">
      <alignment horizontal="center" vertical="center"/>
      <protection/>
    </xf>
    <xf numFmtId="49" fontId="13" fillId="0" borderId="10" xfId="51" applyNumberFormat="1" applyFont="1" applyBorder="1" applyAlignment="1">
      <alignment horizontal="center" vertical="center"/>
      <protection/>
    </xf>
    <xf numFmtId="0" fontId="17" fillId="0" borderId="0" xfId="0" applyFont="1" applyFill="1" applyAlignment="1">
      <alignment/>
    </xf>
    <xf numFmtId="4" fontId="3" fillId="33" borderId="10" xfId="51" applyNumberFormat="1" applyFont="1" applyFill="1" applyBorder="1" applyAlignment="1">
      <alignment horizontal="center" vertical="center"/>
      <protection/>
    </xf>
    <xf numFmtId="4" fontId="3" fillId="33" borderId="10" xfId="51" applyNumberFormat="1" applyFont="1" applyFill="1" applyBorder="1" applyAlignment="1">
      <alignment horizontal="center" vertical="center" wrapText="1"/>
      <protection/>
    </xf>
    <xf numFmtId="10" fontId="3" fillId="0" borderId="10" xfId="51" applyNumberFormat="1" applyFont="1" applyBorder="1" applyAlignment="1">
      <alignment vertical="center"/>
      <protection/>
    </xf>
    <xf numFmtId="10" fontId="16" fillId="0" borderId="10" xfId="51" applyNumberFormat="1" applyFont="1" applyBorder="1" applyAlignment="1">
      <alignment vertical="center"/>
      <protection/>
    </xf>
    <xf numFmtId="49" fontId="0" fillId="0" borderId="10" xfId="51" applyNumberFormat="1" applyFont="1" applyFill="1" applyBorder="1" applyAlignment="1">
      <alignment horizontal="center" vertical="center"/>
      <protection/>
    </xf>
    <xf numFmtId="0" fontId="0" fillId="0" borderId="10" xfId="51" applyFont="1" applyFill="1" applyBorder="1" applyAlignment="1">
      <alignment horizontal="left" vertical="center" wrapText="1"/>
      <protection/>
    </xf>
    <xf numFmtId="0" fontId="0" fillId="0" borderId="10" xfId="51" applyFont="1" applyFill="1" applyBorder="1" applyAlignment="1">
      <alignment horizontal="center" vertical="center"/>
      <protection/>
    </xf>
    <xf numFmtId="10" fontId="2" fillId="0" borderId="10" xfId="51" applyNumberFormat="1" applyFont="1" applyBorder="1" applyAlignment="1">
      <alignment vertical="center"/>
      <protection/>
    </xf>
    <xf numFmtId="10" fontId="2" fillId="0" borderId="10" xfId="52" applyNumberFormat="1" applyFont="1" applyBorder="1" applyAlignment="1">
      <alignment vertical="center"/>
      <protection/>
    </xf>
    <xf numFmtId="0" fontId="13" fillId="33" borderId="10" xfId="52" applyFont="1" applyFill="1" applyBorder="1" applyAlignment="1">
      <alignment vertical="center"/>
      <protection/>
    </xf>
    <xf numFmtId="49" fontId="13" fillId="0" borderId="10" xfId="52" applyNumberFormat="1" applyFont="1" applyBorder="1" applyAlignment="1">
      <alignment horizontal="center" vertical="center"/>
      <protection/>
    </xf>
    <xf numFmtId="4" fontId="13" fillId="0" borderId="10" xfId="52" applyNumberFormat="1" applyFont="1" applyBorder="1" applyAlignment="1">
      <alignment vertical="center"/>
      <protection/>
    </xf>
    <xf numFmtId="4" fontId="13" fillId="0" borderId="10" xfId="52" applyNumberFormat="1" applyFont="1" applyBorder="1" applyAlignment="1">
      <alignment vertical="center"/>
      <protection/>
    </xf>
    <xf numFmtId="4" fontId="13" fillId="0" borderId="10" xfId="52" applyNumberFormat="1" applyFont="1" applyBorder="1" applyAlignment="1">
      <alignment horizontal="right" vertical="center"/>
      <protection/>
    </xf>
    <xf numFmtId="0" fontId="13" fillId="33" borderId="10" xfId="51" applyFont="1" applyFill="1" applyBorder="1" applyAlignment="1">
      <alignment vertical="center" wrapText="1"/>
      <protection/>
    </xf>
    <xf numFmtId="49" fontId="13" fillId="0" borderId="10" xfId="52" applyNumberFormat="1" applyFont="1" applyBorder="1" applyAlignment="1">
      <alignment horizontal="center" vertical="center"/>
      <protection/>
    </xf>
    <xf numFmtId="3" fontId="13" fillId="0" borderId="10" xfId="52" applyNumberFormat="1" applyFont="1" applyBorder="1" applyAlignment="1">
      <alignment horizontal="right" vertical="center"/>
      <protection/>
    </xf>
    <xf numFmtId="4" fontId="13" fillId="0" borderId="10" xfId="52" applyNumberFormat="1" applyFont="1" applyBorder="1" applyAlignment="1">
      <alignment horizontal="right" vertical="center"/>
      <protection/>
    </xf>
    <xf numFmtId="0" fontId="14" fillId="0" borderId="0" xfId="0" applyFont="1" applyFill="1" applyAlignment="1">
      <alignment/>
    </xf>
    <xf numFmtId="4" fontId="13" fillId="0" borderId="0" xfId="52" applyNumberFormat="1" applyFont="1" applyBorder="1" applyAlignment="1">
      <alignment vertical="center"/>
      <protection/>
    </xf>
    <xf numFmtId="0" fontId="14" fillId="0" borderId="0" xfId="0" applyFont="1" applyFill="1" applyBorder="1" applyAlignment="1">
      <alignment/>
    </xf>
    <xf numFmtId="0" fontId="13" fillId="33" borderId="10" xfId="52" applyFont="1" applyFill="1" applyBorder="1" applyAlignment="1">
      <alignment vertical="center" wrapText="1"/>
      <protection/>
    </xf>
    <xf numFmtId="3" fontId="13" fillId="33" borderId="10" xfId="0" applyNumberFormat="1" applyFont="1" applyFill="1" applyBorder="1" applyAlignment="1">
      <alignment vertical="center" wrapText="1"/>
    </xf>
    <xf numFmtId="0" fontId="4" fillId="33" borderId="10" xfId="52" applyFont="1" applyFill="1" applyBorder="1" applyAlignment="1">
      <alignment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18" fillId="0" borderId="10" xfId="51" applyFont="1" applyFill="1" applyBorder="1" applyAlignment="1">
      <alignment horizontal="left" vertical="center" wrapText="1"/>
      <protection/>
    </xf>
    <xf numFmtId="0" fontId="4" fillId="33" borderId="10" xfId="51" applyFont="1" applyFill="1" applyBorder="1" applyAlignment="1">
      <alignment vertical="center" wrapText="1"/>
      <protection/>
    </xf>
    <xf numFmtId="4" fontId="2" fillId="0" borderId="10" xfId="51" applyNumberFormat="1" applyFont="1" applyBorder="1">
      <alignment/>
      <protection/>
    </xf>
    <xf numFmtId="0" fontId="19" fillId="33" borderId="10" xfId="52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 wrapText="1"/>
    </xf>
    <xf numFmtId="0" fontId="67" fillId="0" borderId="0" xfId="0" applyFont="1" applyAlignment="1">
      <alignment/>
    </xf>
    <xf numFmtId="49" fontId="16" fillId="0" borderId="10" xfId="52" applyNumberFormat="1" applyFont="1" applyBorder="1" applyAlignment="1">
      <alignment horizontal="center" vertical="center"/>
      <protection/>
    </xf>
    <xf numFmtId="0" fontId="11" fillId="33" borderId="10" xfId="51" applyFont="1" applyFill="1" applyBorder="1" applyAlignment="1">
      <alignment horizontal="center" vertical="center"/>
      <protection/>
    </xf>
    <xf numFmtId="0" fontId="11" fillId="33" borderId="10" xfId="51" applyFont="1" applyFill="1" applyBorder="1" applyAlignment="1">
      <alignment horizontal="center" vertical="center" wrapText="1"/>
      <protection/>
    </xf>
    <xf numFmtId="49" fontId="3" fillId="33" borderId="10" xfId="51" applyNumberFormat="1" applyFont="1" applyFill="1" applyBorder="1" applyAlignment="1">
      <alignment horizontal="center" vertical="center" wrapText="1"/>
      <protection/>
    </xf>
    <xf numFmtId="0" fontId="13" fillId="33" borderId="10" xfId="52" applyFont="1" applyFill="1" applyBorder="1" applyAlignment="1">
      <alignment vertical="center"/>
      <protection/>
    </xf>
    <xf numFmtId="0" fontId="2" fillId="33" borderId="10" xfId="52" applyFont="1" applyFill="1" applyBorder="1" applyAlignment="1">
      <alignment vertical="center"/>
      <protection/>
    </xf>
    <xf numFmtId="4" fontId="68" fillId="0" borderId="10" xfId="52" applyNumberFormat="1" applyFont="1" applyBorder="1" applyAlignment="1">
      <alignment vertical="center"/>
      <protection/>
    </xf>
    <xf numFmtId="4" fontId="3" fillId="0" borderId="10" xfId="52" applyNumberFormat="1" applyFont="1" applyBorder="1" applyAlignment="1">
      <alignment horizontal="right" vertical="center"/>
      <protection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3" fillId="33" borderId="10" xfId="51" applyNumberFormat="1" applyFont="1" applyFill="1" applyBorder="1" applyAlignment="1">
      <alignment horizontal="center" vertical="center"/>
      <protection/>
    </xf>
    <xf numFmtId="4" fontId="3" fillId="33" borderId="10" xfId="51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/>
    </xf>
    <xf numFmtId="4" fontId="18" fillId="0" borderId="10" xfId="0" applyNumberFormat="1" applyFont="1" applyBorder="1" applyAlignment="1">
      <alignment/>
    </xf>
    <xf numFmtId="10" fontId="3" fillId="0" borderId="10" xfId="52" applyNumberFormat="1" applyFont="1" applyBorder="1" applyAlignment="1">
      <alignment horizontal="right" vertical="center"/>
      <protection/>
    </xf>
    <xf numFmtId="49" fontId="12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vertical="center"/>
      <protection/>
    </xf>
    <xf numFmtId="4" fontId="3" fillId="0" borderId="10" xfId="51" applyNumberFormat="1" applyFont="1" applyBorder="1" applyAlignment="1">
      <alignment horizontal="right"/>
      <protection/>
    </xf>
    <xf numFmtId="4" fontId="13" fillId="0" borderId="10" xfId="51" applyNumberFormat="1" applyFont="1" applyBorder="1" applyAlignment="1">
      <alignment vertical="center"/>
      <protection/>
    </xf>
    <xf numFmtId="10" fontId="13" fillId="0" borderId="10" xfId="51" applyNumberFormat="1" applyFont="1" applyBorder="1" applyAlignment="1">
      <alignment vertical="center"/>
      <protection/>
    </xf>
    <xf numFmtId="4" fontId="13" fillId="0" borderId="10" xfId="51" applyNumberFormat="1" applyFont="1" applyBorder="1" applyAlignment="1">
      <alignment horizontal="right"/>
      <protection/>
    </xf>
    <xf numFmtId="0" fontId="13" fillId="33" borderId="10" xfId="51" applyFont="1" applyFill="1" applyBorder="1" applyAlignment="1">
      <alignment vertical="center"/>
      <protection/>
    </xf>
    <xf numFmtId="10" fontId="13" fillId="0" borderId="10" xfId="51" applyNumberFormat="1" applyFont="1" applyBorder="1" applyAlignment="1">
      <alignment vertical="center"/>
      <protection/>
    </xf>
    <xf numFmtId="4" fontId="13" fillId="0" borderId="10" xfId="51" applyNumberFormat="1" applyFont="1" applyBorder="1" applyAlignment="1">
      <alignment horizontal="right" vertical="center"/>
      <protection/>
    </xf>
    <xf numFmtId="4" fontId="13" fillId="0" borderId="10" xfId="51" applyNumberFormat="1" applyFont="1" applyBorder="1">
      <alignment/>
      <protection/>
    </xf>
    <xf numFmtId="0" fontId="13" fillId="33" borderId="10" xfId="51" applyFont="1" applyFill="1" applyBorder="1" applyAlignment="1">
      <alignment vertical="center" wrapText="1"/>
      <protection/>
    </xf>
    <xf numFmtId="3" fontId="13" fillId="0" borderId="10" xfId="51" applyNumberFormat="1" applyFont="1" applyBorder="1" applyAlignment="1">
      <alignment vertical="center"/>
      <protection/>
    </xf>
    <xf numFmtId="4" fontId="13" fillId="0" borderId="10" xfId="51" applyNumberFormat="1" applyFont="1" applyBorder="1" applyAlignment="1">
      <alignment vertical="center"/>
      <protection/>
    </xf>
    <xf numFmtId="4" fontId="13" fillId="0" borderId="10" xfId="51" applyNumberFormat="1" applyFont="1" applyBorder="1" applyAlignment="1">
      <alignment horizontal="right" vertical="center"/>
      <protection/>
    </xf>
    <xf numFmtId="4" fontId="13" fillId="0" borderId="10" xfId="51" applyNumberFormat="1" applyFont="1" applyBorder="1">
      <alignment/>
      <protection/>
    </xf>
    <xf numFmtId="0" fontId="13" fillId="33" borderId="10" xfId="0" applyFont="1" applyFill="1" applyBorder="1" applyAlignment="1">
      <alignment horizontal="left" vertical="center" wrapText="1"/>
    </xf>
    <xf numFmtId="4" fontId="16" fillId="0" borderId="10" xfId="52" applyNumberFormat="1" applyFont="1" applyBorder="1" applyAlignment="1">
      <alignment vertical="center"/>
      <protection/>
    </xf>
    <xf numFmtId="0" fontId="19" fillId="33" borderId="10" xfId="51" applyFont="1" applyFill="1" applyBorder="1" applyAlignment="1">
      <alignment vertical="center" wrapText="1"/>
      <protection/>
    </xf>
    <xf numFmtId="4" fontId="3" fillId="34" borderId="10" xfId="52" applyNumberFormat="1" applyFont="1" applyFill="1" applyBorder="1" applyAlignment="1">
      <alignment horizontal="right" vertical="center"/>
      <protection/>
    </xf>
    <xf numFmtId="3" fontId="13" fillId="34" borderId="10" xfId="0" applyNumberFormat="1" applyFont="1" applyFill="1" applyBorder="1" applyAlignment="1">
      <alignment vertical="center" wrapText="1"/>
    </xf>
    <xf numFmtId="49" fontId="13" fillId="34" borderId="10" xfId="52" applyNumberFormat="1" applyFont="1" applyFill="1" applyBorder="1" applyAlignment="1">
      <alignment horizontal="center" vertical="center"/>
      <protection/>
    </xf>
    <xf numFmtId="49" fontId="13" fillId="34" borderId="10" xfId="52" applyNumberFormat="1" applyFont="1" applyFill="1" applyBorder="1" applyAlignment="1">
      <alignment horizontal="center" vertical="center"/>
      <protection/>
    </xf>
    <xf numFmtId="4" fontId="13" fillId="34" borderId="10" xfId="52" applyNumberFormat="1" applyFont="1" applyFill="1" applyBorder="1" applyAlignment="1">
      <alignment vertical="center"/>
      <protection/>
    </xf>
    <xf numFmtId="10" fontId="13" fillId="34" borderId="10" xfId="52" applyNumberFormat="1" applyFont="1" applyFill="1" applyBorder="1" applyAlignment="1">
      <alignment vertical="center"/>
      <protection/>
    </xf>
    <xf numFmtId="10" fontId="2" fillId="34" borderId="10" xfId="52" applyNumberFormat="1" applyFont="1" applyFill="1" applyBorder="1" applyAlignment="1">
      <alignment vertical="center"/>
      <protection/>
    </xf>
    <xf numFmtId="4" fontId="13" fillId="34" borderId="10" xfId="52" applyNumberFormat="1" applyFont="1" applyFill="1" applyBorder="1" applyAlignment="1">
      <alignment vertical="center"/>
      <protection/>
    </xf>
    <xf numFmtId="0" fontId="13" fillId="34" borderId="10" xfId="52" applyFont="1" applyFill="1" applyBorder="1" applyAlignment="1">
      <alignment vertical="center" wrapText="1"/>
      <protection/>
    </xf>
    <xf numFmtId="0" fontId="2" fillId="34" borderId="10" xfId="52" applyFont="1" applyFill="1" applyBorder="1" applyAlignment="1">
      <alignment vertical="center" wrapText="1"/>
      <protection/>
    </xf>
    <xf numFmtId="49" fontId="2" fillId="34" borderId="10" xfId="52" applyNumberFormat="1" applyFont="1" applyFill="1" applyBorder="1" applyAlignment="1">
      <alignment horizontal="center" vertical="center"/>
      <protection/>
    </xf>
    <xf numFmtId="4" fontId="2" fillId="34" borderId="10" xfId="52" applyNumberFormat="1" applyFont="1" applyFill="1" applyBorder="1" applyAlignment="1">
      <alignment horizontal="right" vertical="center"/>
      <protection/>
    </xf>
    <xf numFmtId="4" fontId="2" fillId="34" borderId="10" xfId="52" applyNumberFormat="1" applyFont="1" applyFill="1" applyBorder="1" applyAlignment="1">
      <alignment vertical="center"/>
      <protection/>
    </xf>
    <xf numFmtId="0" fontId="13" fillId="34" borderId="10" xfId="52" applyFont="1" applyFill="1" applyBorder="1" applyAlignment="1">
      <alignment vertical="center" wrapText="1"/>
      <protection/>
    </xf>
    <xf numFmtId="3" fontId="2" fillId="0" borderId="10" xfId="51" applyNumberFormat="1" applyFont="1" applyFill="1" applyBorder="1" applyAlignment="1">
      <alignment horizontal="right" vertical="center"/>
      <protection/>
    </xf>
    <xf numFmtId="0" fontId="13" fillId="0" borderId="0" xfId="0" applyFont="1" applyAlignment="1">
      <alignment/>
    </xf>
    <xf numFmtId="4" fontId="69" fillId="0" borderId="10" xfId="52" applyNumberFormat="1" applyFont="1" applyBorder="1" applyAlignment="1">
      <alignment vertical="center"/>
      <protection/>
    </xf>
    <xf numFmtId="2" fontId="2" fillId="0" borderId="10" xfId="52" applyNumberFormat="1" applyFont="1" applyBorder="1" applyAlignment="1">
      <alignment horizontal="right" vertical="center"/>
      <protection/>
    </xf>
    <xf numFmtId="164" fontId="2" fillId="0" borderId="10" xfId="52" applyNumberFormat="1" applyFont="1" applyBorder="1" applyAlignment="1">
      <alignment horizontal="right" vertical="center"/>
      <protection/>
    </xf>
    <xf numFmtId="4" fontId="14" fillId="0" borderId="10" xfId="0" applyNumberFormat="1" applyFont="1" applyFill="1" applyBorder="1" applyAlignment="1">
      <alignment vertical="center"/>
    </xf>
    <xf numFmtId="0" fontId="2" fillId="33" borderId="11" xfId="52" applyFont="1" applyFill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21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left" vertical="center" wrapText="1"/>
    </xf>
    <xf numFmtId="4" fontId="2" fillId="0" borderId="10" xfId="52" applyNumberFormat="1" applyFont="1" applyFill="1" applyBorder="1" applyAlignment="1">
      <alignment horizontal="right" vertical="center"/>
      <protection/>
    </xf>
    <xf numFmtId="4" fontId="3" fillId="0" borderId="10" xfId="52" applyNumberFormat="1" applyFont="1" applyFill="1" applyBorder="1" applyAlignment="1">
      <alignment horizontal="right" vertical="center"/>
      <protection/>
    </xf>
    <xf numFmtId="4" fontId="13" fillId="0" borderId="10" xfId="52" applyNumberFormat="1" applyFont="1" applyFill="1" applyBorder="1" applyAlignment="1">
      <alignment horizontal="right" vertical="center"/>
      <protection/>
    </xf>
    <xf numFmtId="4" fontId="2" fillId="0" borderId="10" xfId="52" applyNumberFormat="1" applyFill="1" applyBorder="1" applyAlignment="1">
      <alignment horizontal="right" vertical="center"/>
      <protection/>
    </xf>
    <xf numFmtId="4" fontId="3" fillId="0" borderId="10" xfId="52" applyNumberFormat="1" applyFont="1" applyFill="1" applyBorder="1" applyAlignment="1">
      <alignment horizontal="right" vertical="center"/>
      <protection/>
    </xf>
    <xf numFmtId="4" fontId="13" fillId="0" borderId="10" xfId="52" applyNumberFormat="1" applyFont="1" applyFill="1" applyBorder="1" applyAlignment="1">
      <alignment horizontal="right" vertical="center"/>
      <protection/>
    </xf>
    <xf numFmtId="4" fontId="2" fillId="0" borderId="10" xfId="52" applyNumberFormat="1" applyFont="1" applyFill="1" applyBorder="1" applyAlignment="1">
      <alignment horizontal="right" vertical="center"/>
      <protection/>
    </xf>
    <xf numFmtId="4" fontId="3" fillId="0" borderId="10" xfId="52" applyNumberFormat="1" applyFont="1" applyFill="1" applyBorder="1" applyAlignment="1">
      <alignment horizontal="right" vertical="center"/>
      <protection/>
    </xf>
    <xf numFmtId="4" fontId="2" fillId="0" borderId="10" xfId="52" applyNumberFormat="1" applyFont="1" applyFill="1" applyBorder="1" applyAlignment="1">
      <alignment horizontal="right" vertical="center"/>
      <protection/>
    </xf>
    <xf numFmtId="4" fontId="69" fillId="0" borderId="10" xfId="52" applyNumberFormat="1" applyFont="1" applyFill="1" applyBorder="1" applyAlignment="1">
      <alignment horizontal="right" vertical="center"/>
      <protection/>
    </xf>
    <xf numFmtId="4" fontId="68" fillId="0" borderId="10" xfId="52" applyNumberFormat="1" applyFont="1" applyFill="1" applyBorder="1" applyAlignment="1">
      <alignment horizontal="right" vertical="center"/>
      <protection/>
    </xf>
    <xf numFmtId="4" fontId="9" fillId="0" borderId="10" xfId="52" applyNumberFormat="1" applyFont="1" applyFill="1" applyBorder="1" applyAlignment="1">
      <alignment horizontal="right" vertical="center"/>
      <protection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vertical="center"/>
    </xf>
    <xf numFmtId="4" fontId="0" fillId="0" borderId="0" xfId="0" applyNumberFormat="1" applyFill="1" applyAlignment="1">
      <alignment/>
    </xf>
    <xf numFmtId="4" fontId="13" fillId="0" borderId="10" xfId="51" applyNumberFormat="1" applyFont="1" applyFill="1" applyBorder="1" applyAlignment="1">
      <alignment horizontal="right" vertical="center"/>
      <protection/>
    </xf>
    <xf numFmtId="0" fontId="22" fillId="0" borderId="10" xfId="0" applyFont="1" applyBorder="1" applyAlignment="1">
      <alignment vertical="center" wrapText="1"/>
    </xf>
    <xf numFmtId="4" fontId="3" fillId="0" borderId="10" xfId="51" applyNumberFormat="1" applyFont="1" applyFill="1" applyBorder="1" applyAlignment="1">
      <alignment horizontal="right" vertical="center"/>
      <protection/>
    </xf>
    <xf numFmtId="0" fontId="12" fillId="33" borderId="10" xfId="5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4" fontId="3" fillId="0" borderId="10" xfId="51" applyNumberFormat="1" applyFont="1" applyFill="1" applyBorder="1" applyAlignment="1">
      <alignment horizontal="right" vertical="center"/>
      <protection/>
    </xf>
    <xf numFmtId="0" fontId="19" fillId="33" borderId="10" xfId="51" applyFont="1" applyFill="1" applyBorder="1" applyAlignment="1">
      <alignment vertical="center" wrapText="1"/>
      <protection/>
    </xf>
    <xf numFmtId="4" fontId="3" fillId="0" borderId="10" xfId="52" applyNumberFormat="1" applyFont="1" applyBorder="1" applyAlignment="1">
      <alignment vertical="center"/>
      <protection/>
    </xf>
    <xf numFmtId="0" fontId="10" fillId="0" borderId="0" xfId="0" applyFont="1" applyFill="1" applyAlignment="1">
      <alignment/>
    </xf>
    <xf numFmtId="0" fontId="66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vertical="center" wrapText="1"/>
      <protection/>
    </xf>
    <xf numFmtId="4" fontId="67" fillId="0" borderId="10" xfId="0" applyNumberFormat="1" applyFont="1" applyBorder="1" applyAlignment="1">
      <alignment/>
    </xf>
    <xf numFmtId="10" fontId="16" fillId="0" borderId="10" xfId="52" applyNumberFormat="1" applyFont="1" applyBorder="1" applyAlignment="1">
      <alignment vertical="center"/>
      <protection/>
    </xf>
    <xf numFmtId="4" fontId="2" fillId="0" borderId="10" xfId="51" applyNumberFormat="1" applyFill="1" applyBorder="1" applyAlignment="1">
      <alignment horizontal="right" vertical="center"/>
      <protection/>
    </xf>
    <xf numFmtId="4" fontId="3" fillId="0" borderId="10" xfId="51" applyNumberFormat="1" applyFont="1" applyFill="1" applyBorder="1" applyAlignment="1">
      <alignment horizontal="right" vertical="center"/>
      <protection/>
    </xf>
    <xf numFmtId="4" fontId="2" fillId="0" borderId="10" xfId="51" applyNumberFormat="1" applyFont="1" applyFill="1" applyBorder="1" applyAlignment="1">
      <alignment horizontal="right" vertical="center"/>
      <protection/>
    </xf>
    <xf numFmtId="4" fontId="16" fillId="0" borderId="10" xfId="51" applyNumberFormat="1" applyFont="1" applyFill="1" applyBorder="1" applyAlignment="1">
      <alignment horizontal="right" vertical="center"/>
      <protection/>
    </xf>
    <xf numFmtId="4" fontId="2" fillId="0" borderId="10" xfId="51" applyNumberFormat="1" applyFont="1" applyFill="1" applyBorder="1" applyAlignment="1">
      <alignment horizontal="right" vertical="center"/>
      <protection/>
    </xf>
    <xf numFmtId="4" fontId="13" fillId="0" borderId="10" xfId="51" applyNumberFormat="1" applyFont="1" applyFill="1" applyBorder="1" applyAlignment="1">
      <alignment horizontal="right" vertical="center"/>
      <protection/>
    </xf>
    <xf numFmtId="4" fontId="2" fillId="0" borderId="10" xfId="51" applyNumberFormat="1" applyFont="1" applyFill="1" applyBorder="1" applyAlignment="1">
      <alignment horizontal="right" vertical="center"/>
      <protection/>
    </xf>
    <xf numFmtId="0" fontId="25" fillId="33" borderId="10" xfId="51" applyFont="1" applyFill="1" applyBorder="1" applyAlignment="1">
      <alignment vertical="center" wrapText="1"/>
      <protection/>
    </xf>
    <xf numFmtId="0" fontId="25" fillId="33" borderId="10" xfId="51" applyFont="1" applyFill="1" applyBorder="1" applyAlignment="1">
      <alignment vertical="center" wrapText="1"/>
      <protection/>
    </xf>
    <xf numFmtId="0" fontId="25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2" fillId="0" borderId="10" xfId="51" applyNumberFormat="1" applyFont="1" applyFill="1" applyBorder="1" applyAlignment="1">
      <alignment horizontal="right" vertical="center"/>
      <protection/>
    </xf>
    <xf numFmtId="4" fontId="67" fillId="0" borderId="10" xfId="0" applyNumberFormat="1" applyFont="1" applyBorder="1" applyAlignment="1">
      <alignment vertical="center"/>
    </xf>
    <xf numFmtId="4" fontId="70" fillId="0" borderId="10" xfId="0" applyNumberFormat="1" applyFont="1" applyBorder="1" applyAlignment="1">
      <alignment vertical="center"/>
    </xf>
    <xf numFmtId="4" fontId="71" fillId="0" borderId="10" xfId="0" applyNumberFormat="1" applyFont="1" applyBorder="1" applyAlignment="1">
      <alignment vertical="center"/>
    </xf>
    <xf numFmtId="4" fontId="68" fillId="0" borderId="10" xfId="52" applyNumberFormat="1" applyFont="1" applyBorder="1" applyAlignment="1">
      <alignment horizontal="right" vertical="center"/>
      <protection/>
    </xf>
    <xf numFmtId="0" fontId="25" fillId="33" borderId="10" xfId="52" applyFont="1" applyFill="1" applyBorder="1" applyAlignment="1">
      <alignment vertical="center" wrapText="1"/>
      <protection/>
    </xf>
    <xf numFmtId="0" fontId="25" fillId="0" borderId="10" xfId="0" applyFont="1" applyFill="1" applyBorder="1" applyAlignment="1">
      <alignment horizontal="left" vertical="center" wrapText="1"/>
    </xf>
    <xf numFmtId="0" fontId="72" fillId="33" borderId="10" xfId="51" applyFont="1" applyFill="1" applyBorder="1" applyAlignment="1">
      <alignment vertical="center" wrapText="1"/>
      <protection/>
    </xf>
    <xf numFmtId="0" fontId="12" fillId="33" borderId="10" xfId="51" applyFont="1" applyFill="1" applyBorder="1" applyAlignment="1">
      <alignment vertical="center" wrapText="1"/>
      <protection/>
    </xf>
    <xf numFmtId="10" fontId="16" fillId="0" borderId="10" xfId="51" applyNumberFormat="1" applyFont="1" applyBorder="1" applyAlignment="1">
      <alignment vertical="center"/>
      <protection/>
    </xf>
    <xf numFmtId="4" fontId="19" fillId="0" borderId="10" xfId="51" applyNumberFormat="1" applyFont="1" applyFill="1" applyBorder="1" applyAlignment="1">
      <alignment horizontal="right" vertical="center"/>
      <protection/>
    </xf>
    <xf numFmtId="0" fontId="22" fillId="0" borderId="0" xfId="0" applyFont="1" applyAlignment="1">
      <alignment wrapText="1"/>
    </xf>
    <xf numFmtId="0" fontId="3" fillId="33" borderId="10" xfId="5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center" vertical="center"/>
      <protection/>
    </xf>
    <xf numFmtId="49" fontId="3" fillId="33" borderId="10" xfId="51" applyNumberFormat="1" applyFont="1" applyFill="1" applyBorder="1" applyAlignment="1">
      <alignment horizontal="center" vertical="center"/>
      <protection/>
    </xf>
    <xf numFmtId="4" fontId="12" fillId="0" borderId="10" xfId="51" applyNumberFormat="1" applyFont="1" applyFill="1" applyBorder="1" applyAlignment="1">
      <alignment horizontal="center" vertical="center" wrapText="1"/>
      <protection/>
    </xf>
    <xf numFmtId="4" fontId="12" fillId="0" borderId="10" xfId="51" applyNumberFormat="1" applyFont="1" applyFill="1" applyBorder="1" applyAlignment="1">
      <alignment vertical="center" wrapText="1"/>
      <protection/>
    </xf>
    <xf numFmtId="0" fontId="25" fillId="33" borderId="10" xfId="5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4" fontId="11" fillId="0" borderId="10" xfId="51" applyNumberFormat="1" applyFont="1" applyBorder="1" applyAlignment="1">
      <alignment horizontal="center" wrapText="1"/>
      <protection/>
    </xf>
    <xf numFmtId="4" fontId="10" fillId="0" borderId="10" xfId="0" applyNumberFormat="1" applyFont="1" applyBorder="1" applyAlignment="1">
      <alignment horizontal="center" wrapText="1"/>
    </xf>
    <xf numFmtId="10" fontId="15" fillId="33" borderId="12" xfId="52" applyNumberFormat="1" applyFont="1" applyFill="1" applyBorder="1" applyAlignment="1">
      <alignment horizontal="center" vertical="top" wrapText="1"/>
      <protection/>
    </xf>
    <xf numFmtId="10" fontId="13" fillId="33" borderId="13" xfId="52" applyNumberFormat="1" applyFont="1" applyFill="1" applyBorder="1" applyAlignment="1">
      <alignment vertical="top" wrapText="1"/>
      <protection/>
    </xf>
    <xf numFmtId="10" fontId="15" fillId="33" borderId="12" xfId="52" applyNumberFormat="1" applyFont="1" applyFill="1" applyBorder="1" applyAlignment="1">
      <alignment horizontal="center" vertical="center" wrapText="1"/>
      <protection/>
    </xf>
    <xf numFmtId="10" fontId="15" fillId="33" borderId="13" xfId="52" applyNumberFormat="1" applyFont="1" applyFill="1" applyBorder="1" applyAlignment="1">
      <alignment vertical="center" wrapText="1"/>
      <protection/>
    </xf>
    <xf numFmtId="4" fontId="20" fillId="33" borderId="12" xfId="52" applyNumberFormat="1" applyFont="1" applyFill="1" applyBorder="1" applyAlignment="1">
      <alignment horizontal="center" vertical="center" wrapText="1"/>
      <protection/>
    </xf>
    <xf numFmtId="4" fontId="20" fillId="33" borderId="13" xfId="52" applyNumberFormat="1" applyFont="1" applyFill="1" applyBorder="1" applyAlignment="1">
      <alignment vertical="center" wrapText="1"/>
      <protection/>
    </xf>
    <xf numFmtId="0" fontId="12" fillId="33" borderId="12" xfId="52" applyFont="1" applyFill="1" applyBorder="1" applyAlignment="1">
      <alignment horizontal="center" vertical="center" wrapText="1"/>
      <protection/>
    </xf>
    <xf numFmtId="0" fontId="12" fillId="33" borderId="13" xfId="52" applyFont="1" applyFill="1" applyBorder="1" applyAlignment="1">
      <alignment vertical="center"/>
      <protection/>
    </xf>
    <xf numFmtId="4" fontId="3" fillId="33" borderId="12" xfId="52" applyNumberFormat="1" applyFont="1" applyFill="1" applyBorder="1" applyAlignment="1">
      <alignment horizontal="center" vertical="center" wrapText="1"/>
      <protection/>
    </xf>
    <xf numFmtId="4" fontId="3" fillId="33" borderId="13" xfId="52" applyNumberFormat="1" applyFont="1" applyFill="1" applyBorder="1" applyAlignment="1">
      <alignment vertical="center"/>
      <protection/>
    </xf>
    <xf numFmtId="0" fontId="5" fillId="33" borderId="12" xfId="52" applyFont="1" applyFill="1" applyBorder="1" applyAlignment="1">
      <alignment horizontal="center" vertical="center" wrapText="1"/>
      <protection/>
    </xf>
    <xf numFmtId="0" fontId="5" fillId="33" borderId="13" xfId="52" applyFont="1" applyFill="1" applyBorder="1" applyAlignment="1">
      <alignment horizontal="center" vertical="center"/>
      <protection/>
    </xf>
    <xf numFmtId="49" fontId="3" fillId="33" borderId="14" xfId="52" applyNumberFormat="1" applyFont="1" applyFill="1" applyBorder="1" applyAlignment="1">
      <alignment horizontal="center" vertical="center"/>
      <protection/>
    </xf>
    <xf numFmtId="0" fontId="2" fillId="33" borderId="15" xfId="52" applyFill="1" applyBorder="1" applyAlignment="1">
      <alignment horizontal="center" vertical="center"/>
      <protection/>
    </xf>
    <xf numFmtId="0" fontId="2" fillId="33" borderId="16" xfId="52" applyFill="1" applyBorder="1" applyAlignment="1">
      <alignment horizontal="center" vertical="center"/>
      <protection/>
    </xf>
    <xf numFmtId="3" fontId="12" fillId="0" borderId="10" xfId="51" applyNumberFormat="1" applyFont="1" applyFill="1" applyBorder="1" applyAlignment="1">
      <alignment horizontal="center" vertical="center" wrapText="1"/>
      <protection/>
    </xf>
    <xf numFmtId="3" fontId="12" fillId="0" borderId="10" xfId="51" applyNumberFormat="1" applyFont="1" applyFill="1" applyBorder="1" applyAlignment="1">
      <alignment vertical="center" wrapText="1"/>
      <protection/>
    </xf>
    <xf numFmtId="10" fontId="11" fillId="33" borderId="12" xfId="52" applyNumberFormat="1" applyFont="1" applyFill="1" applyBorder="1" applyAlignment="1">
      <alignment horizontal="center" vertical="center" wrapText="1"/>
      <protection/>
    </xf>
    <xf numFmtId="10" fontId="3" fillId="33" borderId="13" xfId="52" applyNumberFormat="1" applyFont="1" applyFill="1" applyBorder="1" applyAlignment="1">
      <alignment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Normalny_Wydatki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1"/>
  <sheetViews>
    <sheetView tabSelected="1" zoomScalePageLayoutView="0" workbookViewId="0" topLeftCell="A209">
      <selection activeCell="F239" sqref="F239:G239"/>
    </sheetView>
  </sheetViews>
  <sheetFormatPr defaultColWidth="9.00390625" defaultRowHeight="12.75"/>
  <cols>
    <col min="1" max="1" width="48.00390625" style="0" customWidth="1"/>
    <col min="4" max="4" width="7.00390625" style="0" customWidth="1"/>
    <col min="5" max="5" width="12.75390625" style="214" customWidth="1"/>
    <col min="6" max="6" width="12.75390625" style="61" bestFit="1" customWidth="1"/>
    <col min="7" max="7" width="12.375" style="61" customWidth="1"/>
    <col min="8" max="9" width="10.75390625" style="94" customWidth="1"/>
    <col min="10" max="10" width="11.625" style="61" customWidth="1"/>
  </cols>
  <sheetData>
    <row r="1" spans="1:10" ht="21.75" customHeight="1">
      <c r="A1" s="251" t="s">
        <v>0</v>
      </c>
      <c r="B1" s="253" t="s">
        <v>71</v>
      </c>
      <c r="C1" s="252"/>
      <c r="D1" s="252"/>
      <c r="E1" s="254" t="s">
        <v>497</v>
      </c>
      <c r="F1" s="153" t="s">
        <v>72</v>
      </c>
      <c r="G1" s="110" t="s">
        <v>68</v>
      </c>
      <c r="H1" s="144" t="s">
        <v>74</v>
      </c>
      <c r="I1" s="256" t="s">
        <v>232</v>
      </c>
      <c r="J1" s="258" t="s">
        <v>496</v>
      </c>
    </row>
    <row r="2" spans="1:10" ht="46.5" customHeight="1">
      <c r="A2" s="252"/>
      <c r="B2" s="146" t="s">
        <v>1</v>
      </c>
      <c r="C2" s="146" t="s">
        <v>2</v>
      </c>
      <c r="D2" s="146" t="s">
        <v>3</v>
      </c>
      <c r="E2" s="255"/>
      <c r="F2" s="154" t="s">
        <v>73</v>
      </c>
      <c r="G2" s="111" t="s">
        <v>96</v>
      </c>
      <c r="H2" s="145" t="s">
        <v>75</v>
      </c>
      <c r="I2" s="257"/>
      <c r="J2" s="259"/>
    </row>
    <row r="3" spans="1:10" ht="18" customHeight="1">
      <c r="A3" s="15" t="s">
        <v>4</v>
      </c>
      <c r="B3" s="2" t="s">
        <v>70</v>
      </c>
      <c r="C3" s="2"/>
      <c r="D3" s="2"/>
      <c r="E3" s="217">
        <f>SUM(E4)</f>
        <v>0</v>
      </c>
      <c r="F3" s="55">
        <f>SUM(F4)</f>
        <v>12291.89</v>
      </c>
      <c r="G3" s="55">
        <f>SUM(G4)</f>
        <v>12291.89</v>
      </c>
      <c r="H3" s="112">
        <f>G3/F3</f>
        <v>1</v>
      </c>
      <c r="I3" s="112">
        <f>G3/13403232.9</f>
        <v>0.0009170839671076669</v>
      </c>
      <c r="J3" s="64">
        <v>0</v>
      </c>
    </row>
    <row r="4" spans="1:10" s="191" customFormat="1" ht="15" customHeight="1">
      <c r="A4" s="164" t="s">
        <v>15</v>
      </c>
      <c r="B4" s="108"/>
      <c r="C4" s="108" t="s">
        <v>198</v>
      </c>
      <c r="D4" s="108"/>
      <c r="E4" s="215">
        <f>SUM(E5)</f>
        <v>0</v>
      </c>
      <c r="F4" s="161">
        <f>SUM(F5)</f>
        <v>12291.89</v>
      </c>
      <c r="G4" s="161">
        <f>G5</f>
        <v>12291.89</v>
      </c>
      <c r="H4" s="162">
        <f aca="true" t="shared" si="0" ref="H4:H84">G4/F4</f>
        <v>1</v>
      </c>
      <c r="I4" s="162">
        <f>G4/13403232.9</f>
        <v>0.0009170839671076669</v>
      </c>
      <c r="J4" s="163">
        <v>0</v>
      </c>
    </row>
    <row r="5" spans="1:10" ht="36">
      <c r="A5" s="136" t="s">
        <v>213</v>
      </c>
      <c r="B5" s="3"/>
      <c r="C5" s="3"/>
      <c r="D5" s="35" t="s">
        <v>100</v>
      </c>
      <c r="E5" s="228">
        <v>0</v>
      </c>
      <c r="F5" s="54">
        <v>12291.89</v>
      </c>
      <c r="G5" s="54">
        <v>12291.89</v>
      </c>
      <c r="H5" s="37">
        <f t="shared" si="0"/>
        <v>1</v>
      </c>
      <c r="I5" s="117">
        <f aca="true" t="shared" si="1" ref="I5:I68">G5/13403232.9</f>
        <v>0.0009170839671076669</v>
      </c>
      <c r="J5" s="56">
        <v>0</v>
      </c>
    </row>
    <row r="6" spans="1:10" s="49" customFormat="1" ht="18" customHeight="1" hidden="1">
      <c r="A6" s="159" t="s">
        <v>199</v>
      </c>
      <c r="B6" s="80" t="s">
        <v>200</v>
      </c>
      <c r="C6" s="80"/>
      <c r="D6" s="34"/>
      <c r="E6" s="220">
        <v>0</v>
      </c>
      <c r="F6" s="57">
        <v>0</v>
      </c>
      <c r="G6" s="57">
        <v>0</v>
      </c>
      <c r="H6" s="37">
        <v>0</v>
      </c>
      <c r="I6" s="117">
        <f t="shared" si="1"/>
        <v>0</v>
      </c>
      <c r="J6" s="160">
        <v>0</v>
      </c>
    </row>
    <row r="7" spans="1:10" ht="15" customHeight="1" hidden="1">
      <c r="A7" s="119" t="s">
        <v>201</v>
      </c>
      <c r="B7" s="120"/>
      <c r="C7" s="120" t="s">
        <v>202</v>
      </c>
      <c r="D7" s="35"/>
      <c r="E7" s="215">
        <v>0</v>
      </c>
      <c r="F7" s="161">
        <f>F8</f>
        <v>0</v>
      </c>
      <c r="G7" s="161">
        <f>G8</f>
        <v>0</v>
      </c>
      <c r="H7" s="37">
        <v>0</v>
      </c>
      <c r="I7" s="117">
        <f t="shared" si="1"/>
        <v>0</v>
      </c>
      <c r="J7" s="163">
        <v>0</v>
      </c>
    </row>
    <row r="8" spans="1:10" ht="25.5" customHeight="1" hidden="1">
      <c r="A8" s="6" t="s">
        <v>264</v>
      </c>
      <c r="B8" s="3"/>
      <c r="C8" s="3"/>
      <c r="D8" s="114" t="s">
        <v>265</v>
      </c>
      <c r="E8" s="228">
        <v>0</v>
      </c>
      <c r="F8" s="54">
        <v>0</v>
      </c>
      <c r="G8" s="54">
        <v>0</v>
      </c>
      <c r="H8" s="37">
        <v>0</v>
      </c>
      <c r="I8" s="117">
        <f t="shared" si="1"/>
        <v>0</v>
      </c>
      <c r="J8" s="72">
        <v>0</v>
      </c>
    </row>
    <row r="9" spans="1:10" s="49" customFormat="1" ht="18" customHeight="1" hidden="1">
      <c r="A9" s="8" t="s">
        <v>6</v>
      </c>
      <c r="B9" s="69" t="s">
        <v>240</v>
      </c>
      <c r="C9" s="69"/>
      <c r="D9" s="34"/>
      <c r="E9" s="229">
        <f>SUM(E10)</f>
        <v>0</v>
      </c>
      <c r="F9" s="71">
        <f>SUM(F10)</f>
        <v>0</v>
      </c>
      <c r="G9" s="71">
        <f>SUM(G10)</f>
        <v>0</v>
      </c>
      <c r="H9" s="112" t="e">
        <f t="shared" si="0"/>
        <v>#DIV/0!</v>
      </c>
      <c r="I9" s="117">
        <f t="shared" si="1"/>
        <v>0</v>
      </c>
      <c r="J9" s="71">
        <f>SUM(J10)</f>
        <v>0</v>
      </c>
    </row>
    <row r="10" spans="1:10" s="89" customFormat="1" ht="15" customHeight="1" hidden="1">
      <c r="A10" s="124" t="s">
        <v>7</v>
      </c>
      <c r="B10" s="108"/>
      <c r="C10" s="108" t="s">
        <v>241</v>
      </c>
      <c r="D10" s="108"/>
      <c r="E10" s="215">
        <f>SUM(E11:E14)</f>
        <v>0</v>
      </c>
      <c r="F10" s="166">
        <f>SUM(F11:F14)</f>
        <v>0</v>
      </c>
      <c r="G10" s="166">
        <f>SUM(G11:G14)</f>
        <v>0</v>
      </c>
      <c r="H10" s="162" t="e">
        <f t="shared" si="0"/>
        <v>#DIV/0!</v>
      </c>
      <c r="I10" s="117">
        <f t="shared" si="1"/>
        <v>0</v>
      </c>
      <c r="J10" s="166">
        <f>SUM(J11:J14)</f>
        <v>0</v>
      </c>
    </row>
    <row r="11" spans="1:10" ht="25.5" customHeight="1" hidden="1">
      <c r="A11" s="6" t="s">
        <v>264</v>
      </c>
      <c r="B11" s="3"/>
      <c r="C11" s="3"/>
      <c r="D11" s="114" t="s">
        <v>265</v>
      </c>
      <c r="E11" s="228">
        <v>0</v>
      </c>
      <c r="F11" s="54">
        <v>0</v>
      </c>
      <c r="G11" s="54">
        <v>0</v>
      </c>
      <c r="H11" s="37">
        <v>0</v>
      </c>
      <c r="I11" s="117">
        <f t="shared" si="1"/>
        <v>0</v>
      </c>
      <c r="J11" s="72">
        <v>0</v>
      </c>
    </row>
    <row r="12" spans="1:10" ht="12.75" customHeight="1" hidden="1">
      <c r="A12" s="115" t="s">
        <v>16</v>
      </c>
      <c r="B12" s="3"/>
      <c r="C12" s="3"/>
      <c r="D12" s="114" t="s">
        <v>99</v>
      </c>
      <c r="E12" s="228">
        <v>0</v>
      </c>
      <c r="F12" s="54">
        <v>0</v>
      </c>
      <c r="G12" s="54">
        <v>0</v>
      </c>
      <c r="H12" s="37">
        <v>0</v>
      </c>
      <c r="I12" s="117">
        <f t="shared" si="1"/>
        <v>0</v>
      </c>
      <c r="J12" s="72">
        <v>0</v>
      </c>
    </row>
    <row r="13" spans="1:10" ht="51" customHeight="1" hidden="1">
      <c r="A13" s="115" t="s">
        <v>257</v>
      </c>
      <c r="B13" s="3"/>
      <c r="C13" s="3"/>
      <c r="D13" s="114" t="s">
        <v>258</v>
      </c>
      <c r="E13" s="228">
        <v>0</v>
      </c>
      <c r="F13" s="54">
        <v>0</v>
      </c>
      <c r="G13" s="54">
        <v>0</v>
      </c>
      <c r="H13" s="37" t="e">
        <f t="shared" si="0"/>
        <v>#DIV/0!</v>
      </c>
      <c r="I13" s="117">
        <f t="shared" si="1"/>
        <v>0</v>
      </c>
      <c r="J13" s="72">
        <v>0</v>
      </c>
    </row>
    <row r="14" spans="1:10" ht="48" customHeight="1" hidden="1">
      <c r="A14" s="135" t="s">
        <v>420</v>
      </c>
      <c r="B14" s="3"/>
      <c r="C14" s="3"/>
      <c r="D14" s="116">
        <v>6300</v>
      </c>
      <c r="E14" s="228">
        <v>0</v>
      </c>
      <c r="F14" s="54">
        <v>0</v>
      </c>
      <c r="G14" s="54">
        <v>0</v>
      </c>
      <c r="H14" s="37" t="e">
        <f t="shared" si="0"/>
        <v>#DIV/0!</v>
      </c>
      <c r="I14" s="117">
        <f t="shared" si="1"/>
        <v>0</v>
      </c>
      <c r="J14" s="56">
        <v>0</v>
      </c>
    </row>
    <row r="15" spans="1:10" ht="18" customHeight="1">
      <c r="A15" s="1" t="s">
        <v>13</v>
      </c>
      <c r="B15" s="2">
        <v>700</v>
      </c>
      <c r="C15" s="2"/>
      <c r="D15" s="2"/>
      <c r="E15" s="217">
        <f>SUM(E16)</f>
        <v>349013</v>
      </c>
      <c r="F15" s="55">
        <f>SUM(F16)</f>
        <v>357752.23</v>
      </c>
      <c r="G15" s="55">
        <f>SUM(G16)</f>
        <v>254648.15999999997</v>
      </c>
      <c r="H15" s="112">
        <f t="shared" si="0"/>
        <v>0.7118003429356681</v>
      </c>
      <c r="I15" s="112">
        <f t="shared" si="1"/>
        <v>0.018999010305938948</v>
      </c>
      <c r="J15" s="63">
        <f>SUM(J17:J26)</f>
        <v>82603.94</v>
      </c>
    </row>
    <row r="16" spans="1:10" s="89" customFormat="1" ht="15" customHeight="1">
      <c r="A16" s="164" t="s">
        <v>14</v>
      </c>
      <c r="B16" s="108"/>
      <c r="C16" s="108">
        <v>70005</v>
      </c>
      <c r="D16" s="108"/>
      <c r="E16" s="215">
        <f>SUM(E17:E26)</f>
        <v>349013</v>
      </c>
      <c r="F16" s="166">
        <f>SUM(F17:F26)</f>
        <v>357752.23</v>
      </c>
      <c r="G16" s="166">
        <f>SUM(G17:G26)</f>
        <v>254648.15999999997</v>
      </c>
      <c r="H16" s="162">
        <f t="shared" si="0"/>
        <v>0.7118003429356681</v>
      </c>
      <c r="I16" s="162">
        <f t="shared" si="1"/>
        <v>0.018999010305938948</v>
      </c>
      <c r="J16" s="167">
        <f>SUM(J17:J26)</f>
        <v>82603.94</v>
      </c>
    </row>
    <row r="17" spans="1:10" ht="25.5">
      <c r="A17" s="12" t="s">
        <v>406</v>
      </c>
      <c r="B17" s="3"/>
      <c r="C17" s="3"/>
      <c r="D17" s="10" t="s">
        <v>97</v>
      </c>
      <c r="E17" s="230">
        <v>4250</v>
      </c>
      <c r="F17" s="54">
        <v>4250</v>
      </c>
      <c r="G17" s="54">
        <v>4250</v>
      </c>
      <c r="H17" s="117">
        <f t="shared" si="0"/>
        <v>1</v>
      </c>
      <c r="I17" s="117">
        <f t="shared" si="1"/>
        <v>0.00031708767815263433</v>
      </c>
      <c r="J17" s="54">
        <v>0</v>
      </c>
    </row>
    <row r="18" spans="1:10" ht="25.5">
      <c r="A18" s="12" t="s">
        <v>408</v>
      </c>
      <c r="B18" s="3"/>
      <c r="C18" s="3"/>
      <c r="D18" s="10" t="s">
        <v>407</v>
      </c>
      <c r="E18" s="230">
        <v>104033</v>
      </c>
      <c r="F18" s="54">
        <v>104033</v>
      </c>
      <c r="G18" s="54">
        <v>104649.92</v>
      </c>
      <c r="H18" s="117">
        <f t="shared" si="0"/>
        <v>1.0059300414291619</v>
      </c>
      <c r="I18" s="117">
        <f t="shared" si="1"/>
        <v>0.007807811800390337</v>
      </c>
      <c r="J18" s="54">
        <v>19334.31</v>
      </c>
    </row>
    <row r="19" spans="1:10" ht="25.5">
      <c r="A19" s="12" t="s">
        <v>437</v>
      </c>
      <c r="B19" s="3"/>
      <c r="C19" s="3"/>
      <c r="D19" s="10" t="s">
        <v>438</v>
      </c>
      <c r="E19" s="230">
        <v>200</v>
      </c>
      <c r="F19" s="54">
        <v>250</v>
      </c>
      <c r="G19" s="54">
        <v>257.38</v>
      </c>
      <c r="H19" s="117">
        <f t="shared" si="0"/>
        <v>1.02952</v>
      </c>
      <c r="I19" s="117">
        <f t="shared" si="1"/>
        <v>1.9202829788923537E-05</v>
      </c>
      <c r="J19" s="54">
        <v>3717.36</v>
      </c>
    </row>
    <row r="20" spans="1:10" ht="39.75" customHeight="1">
      <c r="A20" s="136" t="s">
        <v>334</v>
      </c>
      <c r="B20" s="3"/>
      <c r="C20" s="3"/>
      <c r="D20" s="10" t="s">
        <v>98</v>
      </c>
      <c r="E20" s="230">
        <v>240330</v>
      </c>
      <c r="F20" s="54">
        <v>240330</v>
      </c>
      <c r="G20" s="54">
        <v>136620.24</v>
      </c>
      <c r="H20" s="37">
        <f t="shared" si="0"/>
        <v>0.5684693546373736</v>
      </c>
      <c r="I20" s="117">
        <f t="shared" si="1"/>
        <v>0.010193081103589567</v>
      </c>
      <c r="J20" s="54">
        <v>47088.72</v>
      </c>
    </row>
    <row r="21" spans="1:10" ht="25.5" hidden="1">
      <c r="A21" s="51" t="s">
        <v>293</v>
      </c>
      <c r="B21" s="3"/>
      <c r="C21" s="3"/>
      <c r="D21" s="10" t="s">
        <v>219</v>
      </c>
      <c r="E21" s="230">
        <v>0</v>
      </c>
      <c r="F21" s="54">
        <v>0</v>
      </c>
      <c r="G21" s="54">
        <v>0</v>
      </c>
      <c r="H21" s="37">
        <v>0</v>
      </c>
      <c r="I21" s="117">
        <f t="shared" si="1"/>
        <v>0</v>
      </c>
      <c r="J21" s="54">
        <v>0</v>
      </c>
    </row>
    <row r="22" spans="1:10" ht="25.5" customHeight="1" hidden="1">
      <c r="A22" s="51" t="s">
        <v>214</v>
      </c>
      <c r="B22" s="3"/>
      <c r="C22" s="3"/>
      <c r="D22" s="35" t="s">
        <v>215</v>
      </c>
      <c r="E22" s="230">
        <v>0</v>
      </c>
      <c r="F22" s="54">
        <v>0</v>
      </c>
      <c r="G22" s="54">
        <v>0</v>
      </c>
      <c r="H22" s="37" t="e">
        <f t="shared" si="0"/>
        <v>#DIV/0!</v>
      </c>
      <c r="I22" s="117">
        <f t="shared" si="1"/>
        <v>0</v>
      </c>
      <c r="J22" s="54">
        <v>0</v>
      </c>
    </row>
    <row r="23" spans="1:10" ht="12.75" hidden="1">
      <c r="A23" s="11" t="s">
        <v>326</v>
      </c>
      <c r="B23" s="3"/>
      <c r="C23" s="3"/>
      <c r="D23" s="10" t="s">
        <v>327</v>
      </c>
      <c r="E23" s="230">
        <v>0</v>
      </c>
      <c r="F23" s="54">
        <v>0</v>
      </c>
      <c r="G23" s="54">
        <v>0</v>
      </c>
      <c r="H23" s="37" t="e">
        <f t="shared" si="0"/>
        <v>#DIV/0!</v>
      </c>
      <c r="I23" s="117">
        <f t="shared" si="1"/>
        <v>0</v>
      </c>
      <c r="J23" s="62">
        <v>0</v>
      </c>
    </row>
    <row r="24" spans="1:10" ht="12.75">
      <c r="A24" s="11" t="s">
        <v>409</v>
      </c>
      <c r="B24" s="3"/>
      <c r="C24" s="3"/>
      <c r="D24" s="10" t="s">
        <v>99</v>
      </c>
      <c r="E24" s="228">
        <v>200</v>
      </c>
      <c r="F24" s="54">
        <v>1617.23</v>
      </c>
      <c r="G24" s="54">
        <v>1597.07</v>
      </c>
      <c r="H24" s="37">
        <f t="shared" si="0"/>
        <v>0.9875342406460429</v>
      </c>
      <c r="I24" s="117">
        <f t="shared" si="1"/>
        <v>0.00011915558074052417</v>
      </c>
      <c r="J24" s="62">
        <v>12463.55</v>
      </c>
    </row>
    <row r="25" spans="1:10" ht="12.75">
      <c r="A25" s="11" t="s">
        <v>439</v>
      </c>
      <c r="B25" s="3"/>
      <c r="C25" s="3"/>
      <c r="D25" s="10" t="s">
        <v>440</v>
      </c>
      <c r="E25" s="228">
        <v>0</v>
      </c>
      <c r="F25" s="54">
        <v>3002</v>
      </c>
      <c r="G25" s="54">
        <v>3002.78</v>
      </c>
      <c r="H25" s="37">
        <f t="shared" si="0"/>
        <v>1.0002598267821452</v>
      </c>
      <c r="I25" s="117">
        <f t="shared" si="1"/>
        <v>0.00022403400898898056</v>
      </c>
      <c r="J25" s="62">
        <v>0</v>
      </c>
    </row>
    <row r="26" spans="1:10" ht="13.5" customHeight="1">
      <c r="A26" s="136" t="s">
        <v>441</v>
      </c>
      <c r="B26" s="3"/>
      <c r="C26" s="3"/>
      <c r="D26" s="10" t="s">
        <v>442</v>
      </c>
      <c r="E26" s="228">
        <v>0</v>
      </c>
      <c r="F26" s="54">
        <v>4270</v>
      </c>
      <c r="G26" s="54">
        <v>4270.77</v>
      </c>
      <c r="H26" s="37">
        <f t="shared" si="0"/>
        <v>1.0001803278688526</v>
      </c>
      <c r="I26" s="117">
        <f t="shared" si="1"/>
        <v>0.00031863730428798265</v>
      </c>
      <c r="J26" s="54">
        <v>0</v>
      </c>
    </row>
    <row r="27" spans="1:10" ht="18" customHeight="1">
      <c r="A27" s="1" t="s">
        <v>17</v>
      </c>
      <c r="B27" s="2">
        <v>750</v>
      </c>
      <c r="C27" s="2"/>
      <c r="D27" s="2"/>
      <c r="E27" s="217">
        <f>SUM(E28,E32,E41)</f>
        <v>476550.6</v>
      </c>
      <c r="F27" s="55">
        <f>SUM(F28,F32,F41,F45)</f>
        <v>481209.6</v>
      </c>
      <c r="G27" s="55">
        <f>SUM(G28,G32,G41,G45)</f>
        <v>246430.06000000003</v>
      </c>
      <c r="H27" s="112">
        <f t="shared" si="0"/>
        <v>0.5121054525927996</v>
      </c>
      <c r="I27" s="112">
        <f t="shared" si="1"/>
        <v>0.018385867188803383</v>
      </c>
      <c r="J27" s="63">
        <f>J28+J32+J41</f>
        <v>258.40999999999997</v>
      </c>
    </row>
    <row r="28" spans="1:10" s="89" customFormat="1" ht="15" customHeight="1">
      <c r="A28" s="164" t="s">
        <v>18</v>
      </c>
      <c r="B28" s="108"/>
      <c r="C28" s="108">
        <v>75011</v>
      </c>
      <c r="D28" s="108"/>
      <c r="E28" s="215">
        <f>SUM(E30:E31)</f>
        <v>141110</v>
      </c>
      <c r="F28" s="161">
        <f>SUM(F29:F31)</f>
        <v>141815</v>
      </c>
      <c r="G28" s="161">
        <f>SUM(G29:G31)</f>
        <v>76258.75</v>
      </c>
      <c r="H28" s="165">
        <f t="shared" si="0"/>
        <v>0.5377340196735183</v>
      </c>
      <c r="I28" s="162">
        <f t="shared" si="1"/>
        <v>0.005689578817958165</v>
      </c>
      <c r="J28" s="167">
        <v>0</v>
      </c>
    </row>
    <row r="29" spans="1:10" s="103" customFormat="1" ht="12.75" hidden="1">
      <c r="A29" s="36" t="s">
        <v>8</v>
      </c>
      <c r="B29" s="101"/>
      <c r="C29" s="101"/>
      <c r="D29" s="101" t="s">
        <v>189</v>
      </c>
      <c r="E29" s="231">
        <v>0</v>
      </c>
      <c r="F29" s="102">
        <v>0</v>
      </c>
      <c r="G29" s="102">
        <v>0</v>
      </c>
      <c r="H29" s="113"/>
      <c r="I29" s="117">
        <f t="shared" si="1"/>
        <v>0</v>
      </c>
      <c r="J29" s="105">
        <v>0</v>
      </c>
    </row>
    <row r="30" spans="1:10" ht="36">
      <c r="A30" s="136" t="s">
        <v>333</v>
      </c>
      <c r="B30" s="3"/>
      <c r="C30" s="3"/>
      <c r="D30" s="10" t="s">
        <v>100</v>
      </c>
      <c r="E30" s="228">
        <v>141100</v>
      </c>
      <c r="F30" s="54">
        <v>141800</v>
      </c>
      <c r="G30" s="54">
        <v>76251</v>
      </c>
      <c r="H30" s="37">
        <f t="shared" si="0"/>
        <v>0.5377362482369534</v>
      </c>
      <c r="I30" s="117">
        <f t="shared" si="1"/>
        <v>0.005689000599250946</v>
      </c>
      <c r="J30" s="54">
        <v>0</v>
      </c>
    </row>
    <row r="31" spans="1:10" ht="36">
      <c r="A31" s="13" t="s">
        <v>294</v>
      </c>
      <c r="B31" s="3"/>
      <c r="C31" s="3"/>
      <c r="D31" s="10" t="s">
        <v>101</v>
      </c>
      <c r="E31" s="228">
        <v>10</v>
      </c>
      <c r="F31" s="54">
        <v>15</v>
      </c>
      <c r="G31" s="54">
        <v>7.75</v>
      </c>
      <c r="H31" s="37">
        <f t="shared" si="0"/>
        <v>0.5166666666666667</v>
      </c>
      <c r="I31" s="117">
        <f t="shared" si="1"/>
        <v>5.782187072195097E-07</v>
      </c>
      <c r="J31" s="54">
        <v>0</v>
      </c>
    </row>
    <row r="32" spans="1:10" s="89" customFormat="1" ht="15" customHeight="1">
      <c r="A32" s="164" t="s">
        <v>332</v>
      </c>
      <c r="B32" s="108"/>
      <c r="C32" s="108">
        <v>75023</v>
      </c>
      <c r="D32" s="108"/>
      <c r="E32" s="215">
        <f>SUM(E33:E40)</f>
        <v>335440.6</v>
      </c>
      <c r="F32" s="166">
        <f>SUM(F33:F40)</f>
        <v>339394.6</v>
      </c>
      <c r="G32" s="166">
        <f>SUM(G33:G40)</f>
        <v>170171.31000000003</v>
      </c>
      <c r="H32" s="165">
        <f t="shared" si="0"/>
        <v>0.5013966338886948</v>
      </c>
      <c r="I32" s="162">
        <f t="shared" si="1"/>
        <v>0.012696288370845217</v>
      </c>
      <c r="J32" s="167">
        <f>SUM(J33:J40)</f>
        <v>258.40999999999997</v>
      </c>
    </row>
    <row r="33" spans="1:10" s="89" customFormat="1" ht="15" customHeight="1">
      <c r="A33" s="11" t="s">
        <v>152</v>
      </c>
      <c r="B33" s="10"/>
      <c r="C33" s="10"/>
      <c r="D33" s="10" t="s">
        <v>131</v>
      </c>
      <c r="E33" s="230">
        <v>0</v>
      </c>
      <c r="F33" s="95">
        <v>1500</v>
      </c>
      <c r="G33" s="95">
        <v>1500</v>
      </c>
      <c r="H33" s="117">
        <f t="shared" si="0"/>
        <v>1</v>
      </c>
      <c r="I33" s="117">
        <f t="shared" si="1"/>
        <v>0.000111913298171518</v>
      </c>
      <c r="J33" s="137">
        <v>0</v>
      </c>
    </row>
    <row r="34" spans="1:10" ht="36" customHeight="1">
      <c r="A34" s="136" t="s">
        <v>334</v>
      </c>
      <c r="B34" s="3"/>
      <c r="C34" s="3"/>
      <c r="D34" s="10" t="s">
        <v>98</v>
      </c>
      <c r="E34" s="228">
        <v>35000</v>
      </c>
      <c r="F34" s="54">
        <v>35000</v>
      </c>
      <c r="G34" s="54">
        <v>20856.57</v>
      </c>
      <c r="H34" s="37">
        <f t="shared" si="0"/>
        <v>0.595902</v>
      </c>
      <c r="I34" s="117">
        <f t="shared" si="1"/>
        <v>0.0015560850248300916</v>
      </c>
      <c r="J34" s="54">
        <v>239.85</v>
      </c>
    </row>
    <row r="35" spans="1:10" ht="12.75">
      <c r="A35" s="11" t="s">
        <v>56</v>
      </c>
      <c r="B35" s="3"/>
      <c r="C35" s="3"/>
      <c r="D35" s="10" t="s">
        <v>122</v>
      </c>
      <c r="E35" s="228">
        <v>300000</v>
      </c>
      <c r="F35" s="54">
        <v>300000</v>
      </c>
      <c r="G35" s="54">
        <v>145138.63</v>
      </c>
      <c r="H35" s="37">
        <f t="shared" si="0"/>
        <v>0.48379543333333336</v>
      </c>
      <c r="I35" s="117">
        <f t="shared" si="1"/>
        <v>0.010828628516930418</v>
      </c>
      <c r="J35" s="62">
        <v>0</v>
      </c>
    </row>
    <row r="36" spans="1:10" ht="12.75" hidden="1">
      <c r="A36" s="11" t="s">
        <v>326</v>
      </c>
      <c r="B36" s="3"/>
      <c r="C36" s="3"/>
      <c r="D36" s="10" t="s">
        <v>327</v>
      </c>
      <c r="E36" s="228">
        <v>0</v>
      </c>
      <c r="F36" s="54">
        <v>0</v>
      </c>
      <c r="G36" s="54">
        <v>0</v>
      </c>
      <c r="H36" s="37"/>
      <c r="I36" s="117">
        <f t="shared" si="1"/>
        <v>0</v>
      </c>
      <c r="J36" s="62">
        <v>0</v>
      </c>
    </row>
    <row r="37" spans="1:10" ht="12.75">
      <c r="A37" s="11" t="s">
        <v>409</v>
      </c>
      <c r="B37" s="3"/>
      <c r="C37" s="3"/>
      <c r="D37" s="10" t="s">
        <v>99</v>
      </c>
      <c r="E37" s="228">
        <v>40.6</v>
      </c>
      <c r="F37" s="54">
        <v>40.6</v>
      </c>
      <c r="G37" s="54">
        <v>13.54</v>
      </c>
      <c r="H37" s="37">
        <f t="shared" si="0"/>
        <v>0.3334975369458128</v>
      </c>
      <c r="I37" s="117">
        <f t="shared" si="1"/>
        <v>1.0102040381615691E-06</v>
      </c>
      <c r="J37" s="62">
        <v>18.56</v>
      </c>
    </row>
    <row r="38" spans="1:10" ht="12.75">
      <c r="A38" s="12" t="s">
        <v>439</v>
      </c>
      <c r="B38" s="3"/>
      <c r="C38" s="3"/>
      <c r="D38" s="10" t="s">
        <v>440</v>
      </c>
      <c r="E38" s="228">
        <v>0</v>
      </c>
      <c r="F38" s="54">
        <v>0</v>
      </c>
      <c r="G38" s="54">
        <v>0.79</v>
      </c>
      <c r="H38" s="37"/>
      <c r="I38" s="117">
        <f t="shared" si="1"/>
        <v>5.894100370366615E-08</v>
      </c>
      <c r="J38" s="62">
        <v>0</v>
      </c>
    </row>
    <row r="39" spans="1:10" ht="12.75">
      <c r="A39" s="136" t="s">
        <v>441</v>
      </c>
      <c r="B39" s="3"/>
      <c r="C39" s="3"/>
      <c r="D39" s="10" t="s">
        <v>442</v>
      </c>
      <c r="E39" s="228">
        <v>0</v>
      </c>
      <c r="F39" s="54">
        <v>2454</v>
      </c>
      <c r="G39" s="54">
        <v>2454.85</v>
      </c>
      <c r="H39" s="37">
        <f t="shared" si="0"/>
        <v>1.0003463732681337</v>
      </c>
      <c r="I39" s="117">
        <f t="shared" si="1"/>
        <v>0.000183153573344234</v>
      </c>
      <c r="J39" s="62">
        <v>0</v>
      </c>
    </row>
    <row r="40" spans="1:10" ht="12.75">
      <c r="A40" s="36" t="s">
        <v>8</v>
      </c>
      <c r="B40" s="3"/>
      <c r="C40" s="3"/>
      <c r="D40" s="10" t="s">
        <v>189</v>
      </c>
      <c r="E40" s="228">
        <v>400</v>
      </c>
      <c r="F40" s="54">
        <v>400</v>
      </c>
      <c r="G40" s="54">
        <v>206.93</v>
      </c>
      <c r="H40" s="37">
        <f t="shared" si="0"/>
        <v>0.517325</v>
      </c>
      <c r="I40" s="117">
        <f t="shared" si="1"/>
        <v>1.5438812527088147E-05</v>
      </c>
      <c r="J40" s="62">
        <v>0</v>
      </c>
    </row>
    <row r="41" spans="1:10" s="89" customFormat="1" ht="15" customHeight="1" hidden="1">
      <c r="A41" s="119" t="s">
        <v>191</v>
      </c>
      <c r="B41" s="108"/>
      <c r="C41" s="108" t="s">
        <v>187</v>
      </c>
      <c r="D41" s="108"/>
      <c r="E41" s="215">
        <f>E42+E43</f>
        <v>0</v>
      </c>
      <c r="F41" s="166">
        <f>F42+F43+F44</f>
        <v>0</v>
      </c>
      <c r="G41" s="166">
        <f>G42+G43+G44</f>
        <v>0</v>
      </c>
      <c r="H41" s="165" t="e">
        <f t="shared" si="0"/>
        <v>#DIV/0!</v>
      </c>
      <c r="I41" s="117">
        <f t="shared" si="1"/>
        <v>0</v>
      </c>
      <c r="J41" s="166">
        <f>J42+J43+J44</f>
        <v>0</v>
      </c>
    </row>
    <row r="42" spans="1:10" ht="25.5" customHeight="1" hidden="1">
      <c r="A42" s="6" t="s">
        <v>264</v>
      </c>
      <c r="B42" s="3"/>
      <c r="C42" s="3"/>
      <c r="D42" s="10" t="s">
        <v>265</v>
      </c>
      <c r="E42" s="228">
        <v>0</v>
      </c>
      <c r="F42" s="54">
        <v>0</v>
      </c>
      <c r="G42" s="54">
        <v>0</v>
      </c>
      <c r="H42" s="37" t="e">
        <f t="shared" si="0"/>
        <v>#DIV/0!</v>
      </c>
      <c r="I42" s="117">
        <f t="shared" si="1"/>
        <v>0</v>
      </c>
      <c r="J42" s="54">
        <v>0</v>
      </c>
    </row>
    <row r="43" spans="1:10" ht="12.75" hidden="1">
      <c r="A43" s="11" t="s">
        <v>409</v>
      </c>
      <c r="B43" s="3"/>
      <c r="C43" s="3"/>
      <c r="D43" s="10" t="s">
        <v>99</v>
      </c>
      <c r="E43" s="228">
        <v>0</v>
      </c>
      <c r="F43" s="54">
        <v>0</v>
      </c>
      <c r="G43" s="54">
        <v>0</v>
      </c>
      <c r="H43" s="37" t="e">
        <f t="shared" si="0"/>
        <v>#DIV/0!</v>
      </c>
      <c r="I43" s="117">
        <f t="shared" si="1"/>
        <v>0</v>
      </c>
      <c r="J43" s="62">
        <v>0</v>
      </c>
    </row>
    <row r="44" spans="1:10" ht="12.75" hidden="1">
      <c r="A44" s="11" t="s">
        <v>8</v>
      </c>
      <c r="B44" s="3"/>
      <c r="C44" s="3"/>
      <c r="D44" s="10" t="s">
        <v>189</v>
      </c>
      <c r="E44" s="228">
        <v>0</v>
      </c>
      <c r="F44" s="54">
        <v>0</v>
      </c>
      <c r="G44" s="54">
        <v>0</v>
      </c>
      <c r="H44" s="37" t="e">
        <f t="shared" si="0"/>
        <v>#DIV/0!</v>
      </c>
      <c r="I44" s="117">
        <f t="shared" si="1"/>
        <v>0</v>
      </c>
      <c r="J44" s="62">
        <v>0</v>
      </c>
    </row>
    <row r="45" spans="1:10" s="89" customFormat="1" ht="12.75" hidden="1">
      <c r="A45" s="164" t="s">
        <v>15</v>
      </c>
      <c r="B45" s="108"/>
      <c r="C45" s="108" t="s">
        <v>415</v>
      </c>
      <c r="D45" s="108"/>
      <c r="E45" s="215"/>
      <c r="F45" s="161">
        <f>F46</f>
        <v>0</v>
      </c>
      <c r="G45" s="161">
        <f>G46</f>
        <v>0</v>
      </c>
      <c r="H45" s="162" t="e">
        <f t="shared" si="0"/>
        <v>#DIV/0!</v>
      </c>
      <c r="I45" s="117">
        <f t="shared" si="1"/>
        <v>0</v>
      </c>
      <c r="J45" s="167">
        <v>0</v>
      </c>
    </row>
    <row r="46" spans="1:10" s="94" customFormat="1" ht="12.75" hidden="1">
      <c r="A46" s="11" t="s">
        <v>8</v>
      </c>
      <c r="B46" s="10"/>
      <c r="C46" s="10"/>
      <c r="D46" s="10" t="s">
        <v>189</v>
      </c>
      <c r="E46" s="230"/>
      <c r="F46" s="60">
        <v>0</v>
      </c>
      <c r="G46" s="60">
        <v>0</v>
      </c>
      <c r="H46" s="37" t="e">
        <f t="shared" si="0"/>
        <v>#DIV/0!</v>
      </c>
      <c r="I46" s="117">
        <f t="shared" si="1"/>
        <v>0</v>
      </c>
      <c r="J46" s="62">
        <v>0</v>
      </c>
    </row>
    <row r="47" spans="1:10" ht="30.75" customHeight="1">
      <c r="A47" s="5" t="s">
        <v>174</v>
      </c>
      <c r="B47" s="2">
        <v>751</v>
      </c>
      <c r="C47" s="2"/>
      <c r="D47" s="2"/>
      <c r="E47" s="217">
        <f>SUM(E48)</f>
        <v>1350</v>
      </c>
      <c r="F47" s="55">
        <f>SUM(F48,F50,F52)</f>
        <v>1350</v>
      </c>
      <c r="G47" s="55">
        <f>SUM(G48,G50,G52)</f>
        <v>678</v>
      </c>
      <c r="H47" s="112">
        <f t="shared" si="0"/>
        <v>0.5022222222222222</v>
      </c>
      <c r="I47" s="112">
        <f t="shared" si="1"/>
        <v>5.058481077352614E-05</v>
      </c>
      <c r="J47" s="53">
        <v>0</v>
      </c>
    </row>
    <row r="48" spans="1:10" s="89" customFormat="1" ht="25.5">
      <c r="A48" s="168" t="s">
        <v>175</v>
      </c>
      <c r="B48" s="108"/>
      <c r="C48" s="108">
        <v>75101</v>
      </c>
      <c r="D48" s="108"/>
      <c r="E48" s="215">
        <f>E49</f>
        <v>1350</v>
      </c>
      <c r="F48" s="161">
        <f>F49</f>
        <v>1350</v>
      </c>
      <c r="G48" s="161">
        <f>G49</f>
        <v>678</v>
      </c>
      <c r="H48" s="165">
        <f t="shared" si="0"/>
        <v>0.5022222222222222</v>
      </c>
      <c r="I48" s="162">
        <f t="shared" si="1"/>
        <v>5.058481077352614E-05</v>
      </c>
      <c r="J48" s="161">
        <v>0</v>
      </c>
    </row>
    <row r="49" spans="1:10" ht="38.25">
      <c r="A49" s="12" t="s">
        <v>333</v>
      </c>
      <c r="B49" s="3"/>
      <c r="C49" s="3"/>
      <c r="D49" s="35" t="s">
        <v>100</v>
      </c>
      <c r="E49" s="228">
        <v>1350</v>
      </c>
      <c r="F49" s="54">
        <v>1350</v>
      </c>
      <c r="G49" s="54">
        <v>678</v>
      </c>
      <c r="H49" s="37">
        <f t="shared" si="0"/>
        <v>0.5022222222222222</v>
      </c>
      <c r="I49" s="117">
        <f t="shared" si="1"/>
        <v>5.058481077352614E-05</v>
      </c>
      <c r="J49" s="54">
        <v>0</v>
      </c>
    </row>
    <row r="50" spans="1:10" s="89" customFormat="1" ht="12.75" hidden="1">
      <c r="A50" s="124" t="s">
        <v>242</v>
      </c>
      <c r="B50" s="108"/>
      <c r="C50" s="108" t="s">
        <v>243</v>
      </c>
      <c r="D50" s="108"/>
      <c r="E50" s="215">
        <v>0</v>
      </c>
      <c r="F50" s="161">
        <f>F51</f>
        <v>0</v>
      </c>
      <c r="G50" s="169">
        <f>G51</f>
        <v>0</v>
      </c>
      <c r="H50" s="165">
        <v>0</v>
      </c>
      <c r="I50" s="117">
        <f t="shared" si="1"/>
        <v>0</v>
      </c>
      <c r="J50" s="161"/>
    </row>
    <row r="51" spans="1:10" ht="25.5" hidden="1">
      <c r="A51" s="12" t="s">
        <v>173</v>
      </c>
      <c r="B51" s="3"/>
      <c r="C51" s="3"/>
      <c r="D51" s="35" t="s">
        <v>100</v>
      </c>
      <c r="E51" s="228">
        <v>0</v>
      </c>
      <c r="F51" s="54">
        <v>0</v>
      </c>
      <c r="G51" s="54">
        <v>0</v>
      </c>
      <c r="H51" s="37">
        <v>0</v>
      </c>
      <c r="I51" s="117">
        <f t="shared" si="1"/>
        <v>0</v>
      </c>
      <c r="J51" s="54">
        <v>0</v>
      </c>
    </row>
    <row r="52" spans="1:10" s="103" customFormat="1" ht="15" customHeight="1" hidden="1">
      <c r="A52" s="124" t="s">
        <v>278</v>
      </c>
      <c r="B52" s="101"/>
      <c r="C52" s="108" t="s">
        <v>261</v>
      </c>
      <c r="D52" s="108"/>
      <c r="E52" s="215">
        <v>0</v>
      </c>
      <c r="F52" s="161">
        <f>F53</f>
        <v>0</v>
      </c>
      <c r="G52" s="161">
        <f>G53</f>
        <v>0</v>
      </c>
      <c r="H52" s="162">
        <v>0</v>
      </c>
      <c r="I52" s="117">
        <f t="shared" si="1"/>
        <v>0</v>
      </c>
      <c r="J52" s="161">
        <v>0</v>
      </c>
    </row>
    <row r="53" spans="1:10" ht="28.5" customHeight="1" hidden="1">
      <c r="A53" s="36" t="s">
        <v>262</v>
      </c>
      <c r="B53" s="3"/>
      <c r="C53" s="35"/>
      <c r="D53" s="35" t="s">
        <v>100</v>
      </c>
      <c r="E53" s="228">
        <v>0</v>
      </c>
      <c r="F53" s="54">
        <v>0</v>
      </c>
      <c r="G53" s="54">
        <v>0</v>
      </c>
      <c r="H53" s="37">
        <v>0</v>
      </c>
      <c r="I53" s="117">
        <f t="shared" si="1"/>
        <v>0</v>
      </c>
      <c r="J53" s="54">
        <v>0</v>
      </c>
    </row>
    <row r="54" spans="1:10" ht="25.5">
      <c r="A54" s="8" t="s">
        <v>28</v>
      </c>
      <c r="B54" s="34" t="s">
        <v>360</v>
      </c>
      <c r="C54" s="34"/>
      <c r="D54" s="34"/>
      <c r="E54" s="220">
        <f>E57</f>
        <v>100</v>
      </c>
      <c r="F54" s="96">
        <f>F57+F55</f>
        <v>7327</v>
      </c>
      <c r="G54" s="96">
        <f>G57+G55</f>
        <v>0</v>
      </c>
      <c r="H54" s="112">
        <f t="shared" si="0"/>
        <v>0</v>
      </c>
      <c r="I54" s="112">
        <f t="shared" si="1"/>
        <v>0</v>
      </c>
      <c r="J54" s="57">
        <f>J57</f>
        <v>250</v>
      </c>
    </row>
    <row r="55" spans="1:10" s="89" customFormat="1" ht="12.75">
      <c r="A55" s="124" t="s">
        <v>29</v>
      </c>
      <c r="B55" s="108"/>
      <c r="C55" s="108" t="s">
        <v>500</v>
      </c>
      <c r="D55" s="108"/>
      <c r="E55" s="215">
        <f>E56</f>
        <v>0</v>
      </c>
      <c r="F55" s="215">
        <f>F56</f>
        <v>7227</v>
      </c>
      <c r="G55" s="215">
        <f>G56</f>
        <v>0</v>
      </c>
      <c r="H55" s="112">
        <f t="shared" si="0"/>
        <v>0</v>
      </c>
      <c r="I55" s="162">
        <f t="shared" si="1"/>
        <v>0</v>
      </c>
      <c r="J55" s="161">
        <v>0</v>
      </c>
    </row>
    <row r="56" spans="1:10" s="94" customFormat="1" ht="36">
      <c r="A56" s="136" t="s">
        <v>501</v>
      </c>
      <c r="B56" s="10"/>
      <c r="C56" s="10"/>
      <c r="D56" s="10" t="s">
        <v>502</v>
      </c>
      <c r="E56" s="230">
        <v>0</v>
      </c>
      <c r="F56" s="95">
        <v>7227</v>
      </c>
      <c r="G56" s="95">
        <v>0</v>
      </c>
      <c r="H56" s="117">
        <f t="shared" si="0"/>
        <v>0</v>
      </c>
      <c r="I56" s="117">
        <f t="shared" si="1"/>
        <v>0</v>
      </c>
      <c r="J56" s="60">
        <v>0</v>
      </c>
    </row>
    <row r="57" spans="1:10" s="89" customFormat="1" ht="15" customHeight="1">
      <c r="A57" s="124" t="s">
        <v>352</v>
      </c>
      <c r="B57" s="108"/>
      <c r="C57" s="108" t="s">
        <v>353</v>
      </c>
      <c r="D57" s="108"/>
      <c r="E57" s="215">
        <f>E58</f>
        <v>100</v>
      </c>
      <c r="F57" s="166">
        <f>F58</f>
        <v>100</v>
      </c>
      <c r="G57" s="166">
        <f>G58</f>
        <v>0</v>
      </c>
      <c r="H57" s="165">
        <f t="shared" si="0"/>
        <v>0</v>
      </c>
      <c r="I57" s="162">
        <f t="shared" si="1"/>
        <v>0</v>
      </c>
      <c r="J57" s="161">
        <f>J58</f>
        <v>250</v>
      </c>
    </row>
    <row r="58" spans="1:10" ht="25.5" customHeight="1">
      <c r="A58" s="12" t="s">
        <v>264</v>
      </c>
      <c r="B58" s="3"/>
      <c r="C58" s="35"/>
      <c r="D58" s="10" t="s">
        <v>265</v>
      </c>
      <c r="E58" s="228">
        <v>100</v>
      </c>
      <c r="F58" s="54">
        <v>100</v>
      </c>
      <c r="G58" s="54">
        <v>0</v>
      </c>
      <c r="H58" s="37">
        <f t="shared" si="0"/>
        <v>0</v>
      </c>
      <c r="I58" s="117">
        <f t="shared" si="1"/>
        <v>0</v>
      </c>
      <c r="J58" s="54">
        <v>250</v>
      </c>
    </row>
    <row r="59" spans="1:10" ht="36">
      <c r="A59" s="247" t="s">
        <v>295</v>
      </c>
      <c r="B59" s="2">
        <v>756</v>
      </c>
      <c r="C59" s="2"/>
      <c r="D59" s="2"/>
      <c r="E59" s="217">
        <f>SUM(E60,E63,E71,E81,E90)</f>
        <v>9031631</v>
      </c>
      <c r="F59" s="55">
        <f>SUM(F60,F63,F71,F81,F90)</f>
        <v>9039527</v>
      </c>
      <c r="G59" s="55">
        <f>SUM(G60,G63,G71,G81,G90)</f>
        <v>4753192.74</v>
      </c>
      <c r="H59" s="112">
        <f t="shared" si="0"/>
        <v>0.5258231697300091</v>
      </c>
      <c r="I59" s="112">
        <f t="shared" si="1"/>
        <v>0.35463031758554314</v>
      </c>
      <c r="J59" s="55">
        <f>SUM(J60,J63,J71,J81)</f>
        <v>140682.49999999997</v>
      </c>
    </row>
    <row r="60" spans="1:10" s="89" customFormat="1" ht="25.5">
      <c r="A60" s="124" t="s">
        <v>296</v>
      </c>
      <c r="B60" s="108"/>
      <c r="C60" s="108">
        <v>75601</v>
      </c>
      <c r="D60" s="108"/>
      <c r="E60" s="215">
        <f>SUM(E61:E62)</f>
        <v>50100</v>
      </c>
      <c r="F60" s="161">
        <f>SUM(F61:F62)</f>
        <v>50100</v>
      </c>
      <c r="G60" s="161">
        <f>SUM(G61:G62)</f>
        <v>28000.96</v>
      </c>
      <c r="H60" s="165">
        <f t="shared" si="0"/>
        <v>0.5589013972055888</v>
      </c>
      <c r="I60" s="162">
        <f t="shared" si="1"/>
        <v>0.0020891198570458323</v>
      </c>
      <c r="J60" s="161">
        <f>J61+J62</f>
        <v>19797.72</v>
      </c>
    </row>
    <row r="61" spans="1:10" ht="25.5">
      <c r="A61" s="12" t="s">
        <v>446</v>
      </c>
      <c r="B61" s="3"/>
      <c r="C61" s="3"/>
      <c r="D61" s="10" t="s">
        <v>102</v>
      </c>
      <c r="E61" s="228">
        <v>50000</v>
      </c>
      <c r="F61" s="54">
        <v>50000</v>
      </c>
      <c r="G61" s="54">
        <v>28000.96</v>
      </c>
      <c r="H61" s="37">
        <f t="shared" si="0"/>
        <v>0.5600191999999999</v>
      </c>
      <c r="I61" s="117">
        <f t="shared" si="1"/>
        <v>0.0020891198570458323</v>
      </c>
      <c r="J61" s="54">
        <v>19797.72</v>
      </c>
    </row>
    <row r="62" spans="1:10" ht="25.5" customHeight="1">
      <c r="A62" s="12" t="s">
        <v>447</v>
      </c>
      <c r="B62" s="33"/>
      <c r="C62" s="3"/>
      <c r="D62" s="10" t="s">
        <v>103</v>
      </c>
      <c r="E62" s="228">
        <v>100</v>
      </c>
      <c r="F62" s="54">
        <v>100</v>
      </c>
      <c r="G62" s="54">
        <v>0</v>
      </c>
      <c r="H62" s="37">
        <f t="shared" si="0"/>
        <v>0</v>
      </c>
      <c r="I62" s="117">
        <f t="shared" si="1"/>
        <v>0</v>
      </c>
      <c r="J62" s="54">
        <v>0</v>
      </c>
    </row>
    <row r="63" spans="1:10" s="89" customFormat="1" ht="36">
      <c r="A63" s="175" t="s">
        <v>297</v>
      </c>
      <c r="B63" s="108"/>
      <c r="C63" s="108">
        <v>75615</v>
      </c>
      <c r="D63" s="108"/>
      <c r="E63" s="215">
        <f>SUM(E64:E70)</f>
        <v>1337318</v>
      </c>
      <c r="F63" s="166">
        <f>SUM(F64:F70)</f>
        <v>1336479</v>
      </c>
      <c r="G63" s="166">
        <f>SUM(G64:G70)</f>
        <v>716969.73</v>
      </c>
      <c r="H63" s="165">
        <f t="shared" si="0"/>
        <v>0.5364616503514085</v>
      </c>
      <c r="I63" s="162">
        <f t="shared" si="1"/>
        <v>0.0534922981156285</v>
      </c>
      <c r="J63" s="161">
        <f>SUM(J64:J69)</f>
        <v>766.97</v>
      </c>
    </row>
    <row r="64" spans="1:10" ht="12.75">
      <c r="A64" s="4" t="s">
        <v>448</v>
      </c>
      <c r="B64" s="3"/>
      <c r="C64" s="3"/>
      <c r="D64" s="10" t="s">
        <v>104</v>
      </c>
      <c r="E64" s="228">
        <v>1290000</v>
      </c>
      <c r="F64" s="54">
        <v>1290000</v>
      </c>
      <c r="G64" s="54">
        <v>687853.03</v>
      </c>
      <c r="H64" s="37">
        <f t="shared" si="0"/>
        <v>0.5332194031007752</v>
      </c>
      <c r="I64" s="117">
        <f t="shared" si="1"/>
        <v>0.05131993416304808</v>
      </c>
      <c r="J64" s="62">
        <v>766.97</v>
      </c>
    </row>
    <row r="65" spans="1:10" ht="12.75">
      <c r="A65" s="4" t="s">
        <v>449</v>
      </c>
      <c r="B65" s="3"/>
      <c r="C65" s="3"/>
      <c r="D65" s="10" t="s">
        <v>105</v>
      </c>
      <c r="E65" s="228">
        <v>5400</v>
      </c>
      <c r="F65" s="54">
        <v>5400</v>
      </c>
      <c r="G65" s="54">
        <v>3895</v>
      </c>
      <c r="H65" s="37">
        <f t="shared" si="0"/>
        <v>0.7212962962962963</v>
      </c>
      <c r="I65" s="117">
        <f t="shared" si="1"/>
        <v>0.00029060153091870844</v>
      </c>
      <c r="J65" s="62">
        <v>0</v>
      </c>
    </row>
    <row r="66" spans="1:10" ht="12.75">
      <c r="A66" s="4" t="s">
        <v>450</v>
      </c>
      <c r="B66" s="3"/>
      <c r="C66" s="3"/>
      <c r="D66" s="10" t="s">
        <v>106</v>
      </c>
      <c r="E66" s="228">
        <v>1610</v>
      </c>
      <c r="F66" s="54">
        <v>1581</v>
      </c>
      <c r="G66" s="54">
        <v>793</v>
      </c>
      <c r="H66" s="37">
        <f t="shared" si="0"/>
        <v>0.5015812776723593</v>
      </c>
      <c r="I66" s="117">
        <f t="shared" si="1"/>
        <v>5.9164830300009185E-05</v>
      </c>
      <c r="J66" s="62">
        <v>0</v>
      </c>
    </row>
    <row r="67" spans="1:10" ht="12.75">
      <c r="A67" s="4" t="s">
        <v>451</v>
      </c>
      <c r="B67" s="3"/>
      <c r="C67" s="3"/>
      <c r="D67" s="10" t="s">
        <v>107</v>
      </c>
      <c r="E67" s="230">
        <v>30000</v>
      </c>
      <c r="F67" s="54">
        <v>25608</v>
      </c>
      <c r="G67" s="54">
        <v>15540</v>
      </c>
      <c r="H67" s="37">
        <f t="shared" si="0"/>
        <v>0.6068416119962512</v>
      </c>
      <c r="I67" s="117">
        <f t="shared" si="1"/>
        <v>0.0011594217690569265</v>
      </c>
      <c r="J67" s="62">
        <v>0</v>
      </c>
    </row>
    <row r="68" spans="1:10" ht="12.75">
      <c r="A68" s="12" t="s">
        <v>452</v>
      </c>
      <c r="B68" s="3"/>
      <c r="C68" s="3"/>
      <c r="D68" s="10" t="s">
        <v>111</v>
      </c>
      <c r="E68" s="228">
        <v>38</v>
      </c>
      <c r="F68" s="54">
        <v>3620</v>
      </c>
      <c r="G68" s="54">
        <v>3785</v>
      </c>
      <c r="H68" s="37">
        <f t="shared" si="0"/>
        <v>1.0455801104972375</v>
      </c>
      <c r="I68" s="117">
        <f t="shared" si="1"/>
        <v>0.00028239455571946377</v>
      </c>
      <c r="J68" s="62">
        <v>0</v>
      </c>
    </row>
    <row r="69" spans="1:10" ht="26.25" customHeight="1">
      <c r="A69" s="12" t="s">
        <v>447</v>
      </c>
      <c r="B69" s="3"/>
      <c r="C69" s="3"/>
      <c r="D69" s="10" t="s">
        <v>103</v>
      </c>
      <c r="E69" s="228">
        <v>82</v>
      </c>
      <c r="F69" s="54">
        <v>82</v>
      </c>
      <c r="G69" s="54">
        <v>66.7</v>
      </c>
      <c r="H69" s="37">
        <f t="shared" si="0"/>
        <v>0.8134146341463415</v>
      </c>
      <c r="I69" s="117">
        <f aca="true" t="shared" si="2" ref="I69:I132">G69/13403232.9</f>
        <v>4.9764113253601675E-06</v>
      </c>
      <c r="J69" s="54">
        <v>0</v>
      </c>
    </row>
    <row r="70" spans="1:10" ht="25.5">
      <c r="A70" s="12" t="s">
        <v>358</v>
      </c>
      <c r="B70" s="3"/>
      <c r="C70" s="3"/>
      <c r="D70" s="10" t="s">
        <v>359</v>
      </c>
      <c r="E70" s="228">
        <v>10188</v>
      </c>
      <c r="F70" s="54">
        <v>10188</v>
      </c>
      <c r="G70" s="54">
        <v>5037</v>
      </c>
      <c r="H70" s="37">
        <f t="shared" si="0"/>
        <v>0.49440518256772675</v>
      </c>
      <c r="I70" s="117">
        <f t="shared" si="2"/>
        <v>0.00037580485525995746</v>
      </c>
      <c r="J70" s="54">
        <v>0</v>
      </c>
    </row>
    <row r="71" spans="1:10" s="89" customFormat="1" ht="36" customHeight="1">
      <c r="A71" s="175" t="s">
        <v>298</v>
      </c>
      <c r="B71" s="108"/>
      <c r="C71" s="108" t="s">
        <v>150</v>
      </c>
      <c r="D71" s="108"/>
      <c r="E71" s="215">
        <f>SUM(E72:E80)</f>
        <v>2076152</v>
      </c>
      <c r="F71" s="166">
        <f>SUM(F72:F80)</f>
        <v>2078811</v>
      </c>
      <c r="G71" s="166">
        <f>SUM(G72:G80)</f>
        <v>1203193.66</v>
      </c>
      <c r="H71" s="165">
        <f t="shared" si="0"/>
        <v>0.5787893464100392</v>
      </c>
      <c r="I71" s="162">
        <f t="shared" si="2"/>
        <v>0.08976891388644002</v>
      </c>
      <c r="J71" s="161">
        <f>SUM(J72:J80)</f>
        <v>117794.48</v>
      </c>
    </row>
    <row r="72" spans="1:10" ht="12.75">
      <c r="A72" s="4" t="s">
        <v>448</v>
      </c>
      <c r="B72" s="3"/>
      <c r="C72" s="3"/>
      <c r="D72" s="10" t="s">
        <v>104</v>
      </c>
      <c r="E72" s="228">
        <v>1540130</v>
      </c>
      <c r="F72" s="54">
        <v>1540130</v>
      </c>
      <c r="G72" s="54">
        <v>875447.96</v>
      </c>
      <c r="H72" s="37">
        <f t="shared" si="0"/>
        <v>0.5684247173939861</v>
      </c>
      <c r="I72" s="117">
        <f t="shared" si="2"/>
        <v>0.06531617905408478</v>
      </c>
      <c r="J72" s="62">
        <v>107054.44</v>
      </c>
    </row>
    <row r="73" spans="1:10" ht="12.75">
      <c r="A73" s="4" t="s">
        <v>449</v>
      </c>
      <c r="B73" s="3"/>
      <c r="C73" s="3"/>
      <c r="D73" s="10" t="s">
        <v>105</v>
      </c>
      <c r="E73" s="228">
        <v>35000</v>
      </c>
      <c r="F73" s="54">
        <v>35000</v>
      </c>
      <c r="G73" s="54">
        <v>20644.49</v>
      </c>
      <c r="H73" s="37">
        <f t="shared" si="0"/>
        <v>0.5898425714285714</v>
      </c>
      <c r="I73" s="117">
        <f t="shared" si="2"/>
        <v>0.001540261976645948</v>
      </c>
      <c r="J73" s="62">
        <v>299</v>
      </c>
    </row>
    <row r="74" spans="1:10" ht="12.75">
      <c r="A74" s="4" t="s">
        <v>450</v>
      </c>
      <c r="B74" s="3"/>
      <c r="C74" s="3"/>
      <c r="D74" s="10" t="s">
        <v>106</v>
      </c>
      <c r="E74" s="228">
        <v>22</v>
      </c>
      <c r="F74" s="54">
        <v>22</v>
      </c>
      <c r="G74" s="54">
        <v>11</v>
      </c>
      <c r="H74" s="37">
        <f t="shared" si="0"/>
        <v>0.5</v>
      </c>
      <c r="I74" s="117">
        <f t="shared" si="2"/>
        <v>8.206975199244653E-07</v>
      </c>
      <c r="J74" s="62">
        <v>0</v>
      </c>
    </row>
    <row r="75" spans="1:10" ht="12.75">
      <c r="A75" s="4" t="s">
        <v>451</v>
      </c>
      <c r="B75" s="3"/>
      <c r="C75" s="3"/>
      <c r="D75" s="10" t="s">
        <v>107</v>
      </c>
      <c r="E75" s="228">
        <v>240000</v>
      </c>
      <c r="F75" s="54">
        <v>240000</v>
      </c>
      <c r="G75" s="54">
        <v>141785.69</v>
      </c>
      <c r="H75" s="37">
        <f t="shared" si="0"/>
        <v>0.5907737083333333</v>
      </c>
      <c r="I75" s="117">
        <f t="shared" si="2"/>
        <v>0.010578469467616279</v>
      </c>
      <c r="J75" s="62">
        <v>9052.84</v>
      </c>
    </row>
    <row r="76" spans="1:10" ht="12.75">
      <c r="A76" s="12" t="s">
        <v>453</v>
      </c>
      <c r="B76" s="3"/>
      <c r="C76" s="3"/>
      <c r="D76" s="10" t="s">
        <v>108</v>
      </c>
      <c r="E76" s="228">
        <v>10000</v>
      </c>
      <c r="F76" s="54">
        <v>10000</v>
      </c>
      <c r="G76" s="61">
        <v>15151.44</v>
      </c>
      <c r="H76" s="37">
        <f>G77/F76</f>
        <v>1.188</v>
      </c>
      <c r="I76" s="117">
        <f t="shared" si="2"/>
        <v>0.0011304317482985766</v>
      </c>
      <c r="J76" s="62">
        <v>325</v>
      </c>
    </row>
    <row r="77" spans="1:10" ht="12.75">
      <c r="A77" s="12" t="s">
        <v>454</v>
      </c>
      <c r="B77" s="3"/>
      <c r="C77" s="3"/>
      <c r="D77" s="10" t="s">
        <v>109</v>
      </c>
      <c r="E77" s="228">
        <v>20000</v>
      </c>
      <c r="F77" s="54">
        <v>20000</v>
      </c>
      <c r="G77" s="54">
        <v>11880</v>
      </c>
      <c r="H77" s="37">
        <f t="shared" si="0"/>
        <v>0.594</v>
      </c>
      <c r="I77" s="117">
        <f t="shared" si="2"/>
        <v>0.0008863533215184226</v>
      </c>
      <c r="J77" s="62">
        <v>1027.2</v>
      </c>
    </row>
    <row r="78" spans="1:10" ht="12.75">
      <c r="A78" s="12" t="s">
        <v>32</v>
      </c>
      <c r="B78" s="3"/>
      <c r="C78" s="3"/>
      <c r="D78" s="10" t="s">
        <v>110</v>
      </c>
      <c r="E78" s="228">
        <v>110000</v>
      </c>
      <c r="F78" s="54">
        <v>110000</v>
      </c>
      <c r="G78" s="54">
        <v>57521</v>
      </c>
      <c r="H78" s="37">
        <f t="shared" si="0"/>
        <v>0.5229181818181818</v>
      </c>
      <c r="I78" s="117">
        <f t="shared" si="2"/>
        <v>0.004291576549415925</v>
      </c>
      <c r="J78" s="62">
        <v>0</v>
      </c>
    </row>
    <row r="79" spans="1:10" ht="12.75">
      <c r="A79" s="12" t="s">
        <v>452</v>
      </c>
      <c r="B79" s="3"/>
      <c r="C79" s="3"/>
      <c r="D79" s="10" t="s">
        <v>111</v>
      </c>
      <c r="E79" s="228">
        <v>116000</v>
      </c>
      <c r="F79" s="54">
        <v>116000</v>
      </c>
      <c r="G79" s="54">
        <v>73102</v>
      </c>
      <c r="H79" s="37">
        <f t="shared" si="0"/>
        <v>0.6301896551724138</v>
      </c>
      <c r="I79" s="117">
        <f t="shared" si="2"/>
        <v>0.005454057281956206</v>
      </c>
      <c r="J79" s="62">
        <v>36</v>
      </c>
    </row>
    <row r="80" spans="1:10" ht="26.25" customHeight="1">
      <c r="A80" s="12" t="s">
        <v>447</v>
      </c>
      <c r="B80" s="3"/>
      <c r="C80" s="3"/>
      <c r="D80" s="10" t="s">
        <v>103</v>
      </c>
      <c r="E80" s="228">
        <v>5000</v>
      </c>
      <c r="F80" s="54">
        <v>7659</v>
      </c>
      <c r="G80" s="54">
        <v>7650.08</v>
      </c>
      <c r="H80" s="37">
        <f t="shared" si="0"/>
        <v>0.9988353570962266</v>
      </c>
      <c r="I80" s="117">
        <f t="shared" si="2"/>
        <v>0.0005707637893839776</v>
      </c>
      <c r="J80" s="54">
        <v>0</v>
      </c>
    </row>
    <row r="81" spans="1:10" s="89" customFormat="1" ht="29.25" customHeight="1">
      <c r="A81" s="175" t="s">
        <v>299</v>
      </c>
      <c r="B81" s="108"/>
      <c r="C81" s="108" t="s">
        <v>151</v>
      </c>
      <c r="D81" s="108"/>
      <c r="E81" s="215">
        <f>SUM(E82:E89)</f>
        <v>387010</v>
      </c>
      <c r="F81" s="166">
        <f>SUM(F82:F89)</f>
        <v>393086</v>
      </c>
      <c r="G81" s="166">
        <f>SUM(G82:G89)</f>
        <v>265103.98000000004</v>
      </c>
      <c r="H81" s="165">
        <f t="shared" si="0"/>
        <v>0.6744172522043523</v>
      </c>
      <c r="I81" s="162">
        <f t="shared" si="2"/>
        <v>0.0197791071734641</v>
      </c>
      <c r="J81" s="166">
        <f>SUM(J82:J89)</f>
        <v>2323.33</v>
      </c>
    </row>
    <row r="82" spans="1:10" ht="12.75">
      <c r="A82" s="12" t="s">
        <v>33</v>
      </c>
      <c r="B82" s="3"/>
      <c r="C82" s="3"/>
      <c r="D82" s="10" t="s">
        <v>112</v>
      </c>
      <c r="E82" s="228">
        <v>165000</v>
      </c>
      <c r="F82" s="54">
        <v>165000</v>
      </c>
      <c r="G82" s="54">
        <v>97234.53</v>
      </c>
      <c r="H82" s="37">
        <f t="shared" si="0"/>
        <v>0.5893001818181818</v>
      </c>
      <c r="I82" s="117">
        <f t="shared" si="2"/>
        <v>0.007254557965638275</v>
      </c>
      <c r="J82" s="56">
        <v>0</v>
      </c>
    </row>
    <row r="83" spans="1:10" ht="25.5">
      <c r="A83" s="12" t="s">
        <v>393</v>
      </c>
      <c r="B83" s="3"/>
      <c r="C83" s="3"/>
      <c r="D83" s="10" t="s">
        <v>113</v>
      </c>
      <c r="E83" s="228">
        <v>160000</v>
      </c>
      <c r="F83" s="54">
        <v>160000</v>
      </c>
      <c r="G83" s="54">
        <v>102464.66</v>
      </c>
      <c r="H83" s="37">
        <f t="shared" si="0"/>
        <v>0.640404125</v>
      </c>
      <c r="I83" s="117">
        <f t="shared" si="2"/>
        <v>0.007644772031082143</v>
      </c>
      <c r="J83" s="56">
        <v>1232.52</v>
      </c>
    </row>
    <row r="84" spans="1:10" ht="25.5">
      <c r="A84" s="12" t="s">
        <v>335</v>
      </c>
      <c r="B84" s="3"/>
      <c r="C84" s="3"/>
      <c r="D84" s="10" t="s">
        <v>114</v>
      </c>
      <c r="E84" s="228">
        <v>55000</v>
      </c>
      <c r="F84" s="54">
        <v>61000</v>
      </c>
      <c r="G84" s="54">
        <v>61640.98</v>
      </c>
      <c r="H84" s="37">
        <f t="shared" si="0"/>
        <v>1.0105078688524591</v>
      </c>
      <c r="I84" s="117">
        <f t="shared" si="2"/>
        <v>0.004598963582883052</v>
      </c>
      <c r="J84" s="56">
        <v>1015.47</v>
      </c>
    </row>
    <row r="85" spans="1:10" ht="12.75">
      <c r="A85" s="12" t="s">
        <v>34</v>
      </c>
      <c r="B85" s="3"/>
      <c r="C85" s="3"/>
      <c r="D85" s="10" t="s">
        <v>116</v>
      </c>
      <c r="E85" s="228">
        <v>0</v>
      </c>
      <c r="F85" s="54">
        <v>32</v>
      </c>
      <c r="G85" s="54">
        <v>32</v>
      </c>
      <c r="H85" s="37">
        <f aca="true" t="shared" si="3" ref="H85:H166">G85/F85</f>
        <v>1</v>
      </c>
      <c r="I85" s="117">
        <f t="shared" si="2"/>
        <v>2.3874836943257176E-06</v>
      </c>
      <c r="J85" s="56">
        <v>0</v>
      </c>
    </row>
    <row r="86" spans="1:10" ht="25.5">
      <c r="A86" s="12" t="s">
        <v>437</v>
      </c>
      <c r="B86" s="3"/>
      <c r="C86" s="3"/>
      <c r="D86" s="10" t="s">
        <v>438</v>
      </c>
      <c r="E86" s="228">
        <v>6000</v>
      </c>
      <c r="F86" s="54">
        <v>6000</v>
      </c>
      <c r="G86" s="54">
        <v>2653.3</v>
      </c>
      <c r="H86" s="37">
        <f t="shared" si="3"/>
        <v>0.4422166666666667</v>
      </c>
      <c r="I86" s="117">
        <f t="shared" si="2"/>
        <v>0.00019795970269232582</v>
      </c>
      <c r="J86" s="56">
        <v>0</v>
      </c>
    </row>
    <row r="87" spans="1:10" ht="12.75">
      <c r="A87" s="12" t="s">
        <v>152</v>
      </c>
      <c r="B87" s="3"/>
      <c r="C87" s="3"/>
      <c r="D87" s="10" t="s">
        <v>131</v>
      </c>
      <c r="E87" s="228">
        <v>1000</v>
      </c>
      <c r="F87" s="54">
        <v>1000</v>
      </c>
      <c r="G87" s="54">
        <v>1000</v>
      </c>
      <c r="H87" s="37">
        <f>G87/F87</f>
        <v>1</v>
      </c>
      <c r="I87" s="117">
        <f t="shared" si="2"/>
        <v>7.460886544767867E-05</v>
      </c>
      <c r="J87" s="56">
        <f>SUM(J90:J94)</f>
        <v>0</v>
      </c>
    </row>
    <row r="88" spans="1:10" ht="12.75" customHeight="1">
      <c r="A88" s="12" t="s">
        <v>447</v>
      </c>
      <c r="B88" s="3"/>
      <c r="C88" s="3"/>
      <c r="D88" s="10" t="s">
        <v>103</v>
      </c>
      <c r="E88" s="228">
        <v>0</v>
      </c>
      <c r="F88" s="54">
        <v>0</v>
      </c>
      <c r="G88" s="54">
        <v>0</v>
      </c>
      <c r="H88" s="37">
        <v>0</v>
      </c>
      <c r="I88" s="117">
        <f t="shared" si="2"/>
        <v>0</v>
      </c>
      <c r="J88" s="56">
        <v>0</v>
      </c>
    </row>
    <row r="89" spans="1:10" ht="12.75">
      <c r="A89" s="11" t="s">
        <v>409</v>
      </c>
      <c r="B89" s="3"/>
      <c r="C89" s="3"/>
      <c r="D89" s="10" t="s">
        <v>99</v>
      </c>
      <c r="E89" s="228">
        <v>10</v>
      </c>
      <c r="F89" s="54">
        <v>54</v>
      </c>
      <c r="G89" s="54">
        <v>78.51</v>
      </c>
      <c r="H89" s="37">
        <f>G89/F89</f>
        <v>1.453888888888889</v>
      </c>
      <c r="I89" s="117">
        <f t="shared" si="2"/>
        <v>5.857542026297253E-06</v>
      </c>
      <c r="J89" s="56">
        <v>75.34</v>
      </c>
    </row>
    <row r="90" spans="1:10" s="89" customFormat="1" ht="25.5">
      <c r="A90" s="124" t="s">
        <v>35</v>
      </c>
      <c r="B90" s="108"/>
      <c r="C90" s="108" t="s">
        <v>153</v>
      </c>
      <c r="D90" s="108"/>
      <c r="E90" s="215">
        <f>SUM(E91:E92)</f>
        <v>5181051</v>
      </c>
      <c r="F90" s="166">
        <f>SUM(F91:F92)</f>
        <v>5181051</v>
      </c>
      <c r="G90" s="166">
        <f>SUM(G91:G92)</f>
        <v>2539924.41</v>
      </c>
      <c r="H90" s="165">
        <f t="shared" si="3"/>
        <v>0.4902334314022387</v>
      </c>
      <c r="I90" s="162">
        <f t="shared" si="2"/>
        <v>0.18950087855296463</v>
      </c>
      <c r="J90" s="166">
        <f>SUM(J91:J95)</f>
        <v>0</v>
      </c>
    </row>
    <row r="91" spans="1:10" ht="12.75">
      <c r="A91" s="12" t="s">
        <v>36</v>
      </c>
      <c r="B91" s="3"/>
      <c r="C91" s="3"/>
      <c r="D91" s="10" t="s">
        <v>115</v>
      </c>
      <c r="E91" s="228">
        <v>5081051</v>
      </c>
      <c r="F91" s="54">
        <v>5081051</v>
      </c>
      <c r="G91" s="54">
        <v>2450358</v>
      </c>
      <c r="H91" s="37">
        <f t="shared" si="3"/>
        <v>0.48225416355789386</v>
      </c>
      <c r="I91" s="117">
        <f t="shared" si="2"/>
        <v>0.18281843032064302</v>
      </c>
      <c r="J91" s="56">
        <f>SUM(J92:J98)</f>
        <v>0</v>
      </c>
    </row>
    <row r="92" spans="1:10" ht="12.75">
      <c r="A92" s="12" t="s">
        <v>37</v>
      </c>
      <c r="B92" s="3"/>
      <c r="C92" s="3"/>
      <c r="D92" s="10" t="s">
        <v>117</v>
      </c>
      <c r="E92" s="228">
        <v>100000</v>
      </c>
      <c r="F92" s="54">
        <v>100000</v>
      </c>
      <c r="G92" s="54">
        <v>89566.41</v>
      </c>
      <c r="H92" s="37">
        <f t="shared" si="3"/>
        <v>0.8956641000000001</v>
      </c>
      <c r="I92" s="117">
        <f t="shared" si="2"/>
        <v>0.006682448232321622</v>
      </c>
      <c r="J92" s="56">
        <f>SUM(J93:J99)</f>
        <v>0</v>
      </c>
    </row>
    <row r="93" spans="1:10" ht="18" customHeight="1">
      <c r="A93" s="5" t="s">
        <v>39</v>
      </c>
      <c r="B93" s="2">
        <v>758</v>
      </c>
      <c r="C93" s="2"/>
      <c r="D93" s="2"/>
      <c r="E93" s="217">
        <f>SUM(E94,E98,E101,E96)</f>
        <v>4525962</v>
      </c>
      <c r="F93" s="55">
        <f>SUM(F94,F98,F101,F96)</f>
        <v>4545044</v>
      </c>
      <c r="G93" s="55">
        <f>SUM(G94,G98,G101,G96)</f>
        <v>2791390.96</v>
      </c>
      <c r="H93" s="112">
        <f t="shared" si="3"/>
        <v>0.6141614822650782</v>
      </c>
      <c r="I93" s="112">
        <f t="shared" si="2"/>
        <v>0.2082625125465066</v>
      </c>
      <c r="J93" s="63">
        <v>0</v>
      </c>
    </row>
    <row r="94" spans="1:10" s="89" customFormat="1" ht="15" customHeight="1">
      <c r="A94" s="124" t="s">
        <v>336</v>
      </c>
      <c r="B94" s="108"/>
      <c r="C94" s="108">
        <v>75801</v>
      </c>
      <c r="D94" s="108"/>
      <c r="E94" s="215">
        <f>SUM(E95)</f>
        <v>4379324</v>
      </c>
      <c r="F94" s="161">
        <f>F95</f>
        <v>4384406</v>
      </c>
      <c r="G94" s="161">
        <f>SUM(G95)</f>
        <v>2698096</v>
      </c>
      <c r="H94" s="165">
        <f t="shared" si="3"/>
        <v>0.6153846153846154</v>
      </c>
      <c r="I94" s="162">
        <f t="shared" si="2"/>
        <v>0.20130188142892003</v>
      </c>
      <c r="J94" s="167">
        <v>0</v>
      </c>
    </row>
    <row r="95" spans="1:10" ht="12.75">
      <c r="A95" s="4" t="s">
        <v>40</v>
      </c>
      <c r="B95" s="3"/>
      <c r="C95" s="3"/>
      <c r="D95" s="10" t="s">
        <v>118</v>
      </c>
      <c r="E95" s="228">
        <v>4379324</v>
      </c>
      <c r="F95" s="54">
        <v>4384406</v>
      </c>
      <c r="G95" s="54">
        <v>2698096</v>
      </c>
      <c r="H95" s="37">
        <f t="shared" si="3"/>
        <v>0.6153846153846154</v>
      </c>
      <c r="I95" s="117">
        <f t="shared" si="2"/>
        <v>0.20130188142892003</v>
      </c>
      <c r="J95" s="65">
        <v>0</v>
      </c>
    </row>
    <row r="96" spans="1:10" s="103" customFormat="1" ht="12.75" hidden="1">
      <c r="A96" s="104" t="s">
        <v>300</v>
      </c>
      <c r="B96" s="101"/>
      <c r="C96" s="101" t="s">
        <v>301</v>
      </c>
      <c r="D96" s="101"/>
      <c r="E96" s="231">
        <f>SUM(E97)</f>
        <v>0</v>
      </c>
      <c r="F96" s="102">
        <f>F97</f>
        <v>0</v>
      </c>
      <c r="G96" s="102">
        <f>G97</f>
        <v>0</v>
      </c>
      <c r="H96" s="113">
        <v>0</v>
      </c>
      <c r="I96" s="117">
        <f t="shared" si="2"/>
        <v>0</v>
      </c>
      <c r="J96" s="105">
        <v>0</v>
      </c>
    </row>
    <row r="97" spans="1:10" ht="12.75" hidden="1">
      <c r="A97" s="36" t="s">
        <v>40</v>
      </c>
      <c r="B97" s="3"/>
      <c r="C97" s="3"/>
      <c r="D97" s="35" t="s">
        <v>118</v>
      </c>
      <c r="E97" s="228">
        <v>0</v>
      </c>
      <c r="F97" s="54">
        <v>0</v>
      </c>
      <c r="G97" s="54">
        <v>0</v>
      </c>
      <c r="H97" s="37">
        <v>0</v>
      </c>
      <c r="I97" s="117">
        <f t="shared" si="2"/>
        <v>0</v>
      </c>
      <c r="J97" s="65">
        <v>0</v>
      </c>
    </row>
    <row r="98" spans="1:10" s="89" customFormat="1" ht="15" customHeight="1">
      <c r="A98" s="124" t="s">
        <v>155</v>
      </c>
      <c r="B98" s="108"/>
      <c r="C98" s="108" t="s">
        <v>156</v>
      </c>
      <c r="D98" s="108"/>
      <c r="E98" s="215">
        <f>SUM(E99:E100)</f>
        <v>17000</v>
      </c>
      <c r="F98" s="215">
        <f>SUM(F99:F100)</f>
        <v>31000</v>
      </c>
      <c r="G98" s="215">
        <f>SUM(G99:G100)</f>
        <v>28476.96</v>
      </c>
      <c r="H98" s="165">
        <f t="shared" si="3"/>
        <v>0.9186116129032258</v>
      </c>
      <c r="I98" s="162">
        <f t="shared" si="2"/>
        <v>0.0021246336769989273</v>
      </c>
      <c r="J98" s="167">
        <v>0</v>
      </c>
    </row>
    <row r="99" spans="1:10" ht="12.75">
      <c r="A99" s="11" t="s">
        <v>409</v>
      </c>
      <c r="B99" s="3"/>
      <c r="C99" s="3"/>
      <c r="D99" s="10" t="s">
        <v>99</v>
      </c>
      <c r="E99" s="228">
        <v>16000</v>
      </c>
      <c r="F99" s="54">
        <v>30000</v>
      </c>
      <c r="G99" s="54">
        <v>27981.96</v>
      </c>
      <c r="H99" s="37">
        <f t="shared" si="3"/>
        <v>0.932732</v>
      </c>
      <c r="I99" s="117">
        <f t="shared" si="2"/>
        <v>0.0020877022886023264</v>
      </c>
      <c r="J99" s="65">
        <v>0</v>
      </c>
    </row>
    <row r="100" spans="1:10" ht="12.75">
      <c r="A100" s="36" t="s">
        <v>8</v>
      </c>
      <c r="B100" s="3"/>
      <c r="C100" s="3"/>
      <c r="D100" s="10" t="s">
        <v>189</v>
      </c>
      <c r="E100" s="228">
        <v>1000</v>
      </c>
      <c r="F100" s="54">
        <v>1000</v>
      </c>
      <c r="G100" s="54">
        <v>495</v>
      </c>
      <c r="H100" s="37">
        <f t="shared" si="3"/>
        <v>0.495</v>
      </c>
      <c r="I100" s="117">
        <f t="shared" si="2"/>
        <v>3.693138839660094E-05</v>
      </c>
      <c r="J100" s="65">
        <v>0</v>
      </c>
    </row>
    <row r="101" spans="1:10" s="89" customFormat="1" ht="15" customHeight="1">
      <c r="A101" s="124" t="s">
        <v>302</v>
      </c>
      <c r="B101" s="108"/>
      <c r="C101" s="108" t="s">
        <v>119</v>
      </c>
      <c r="D101" s="108"/>
      <c r="E101" s="215">
        <f>SUM(E102)</f>
        <v>129638</v>
      </c>
      <c r="F101" s="161">
        <f>SUM(F102)</f>
        <v>129638</v>
      </c>
      <c r="G101" s="161">
        <f>G102</f>
        <v>64818</v>
      </c>
      <c r="H101" s="165">
        <f t="shared" si="3"/>
        <v>0.499992286212376</v>
      </c>
      <c r="I101" s="162">
        <f t="shared" si="2"/>
        <v>0.004835997440587636</v>
      </c>
      <c r="J101" s="167">
        <v>0</v>
      </c>
    </row>
    <row r="102" spans="1:10" ht="12.75">
      <c r="A102" s="4" t="s">
        <v>40</v>
      </c>
      <c r="B102" s="3"/>
      <c r="C102" s="3"/>
      <c r="D102" s="10" t="s">
        <v>118</v>
      </c>
      <c r="E102" s="228">
        <v>129638</v>
      </c>
      <c r="F102" s="54">
        <v>129638</v>
      </c>
      <c r="G102" s="54">
        <v>64818</v>
      </c>
      <c r="H102" s="37">
        <f t="shared" si="3"/>
        <v>0.499992286212376</v>
      </c>
      <c r="I102" s="117">
        <f t="shared" si="2"/>
        <v>0.004835997440587636</v>
      </c>
      <c r="J102" s="65">
        <v>0</v>
      </c>
    </row>
    <row r="103" spans="1:10" ht="18" customHeight="1">
      <c r="A103" s="5" t="s">
        <v>43</v>
      </c>
      <c r="B103" s="2">
        <v>801</v>
      </c>
      <c r="C103" s="2"/>
      <c r="D103" s="2"/>
      <c r="E103" s="217">
        <f>SUM(E104,E114,E122,E124,E126,E132,E129,E134)</f>
        <v>683715.65</v>
      </c>
      <c r="F103" s="217">
        <f>SUM(F104,F114,F122,F124,F126,F132,F129,F134)</f>
        <v>791672.1900000001</v>
      </c>
      <c r="G103" s="217">
        <f>SUM(G104,G114,G122,G124,G126,G132,G129,G134)</f>
        <v>408665.98000000004</v>
      </c>
      <c r="H103" s="112">
        <f t="shared" si="3"/>
        <v>0.5162060574592118</v>
      </c>
      <c r="I103" s="112">
        <f t="shared" si="2"/>
        <v>0.030490105114863744</v>
      </c>
      <c r="J103" s="55">
        <f>SUM(J104,J114,J122,J126)</f>
        <v>2443.1099999999997</v>
      </c>
    </row>
    <row r="104" spans="1:10" s="89" customFormat="1" ht="15" customHeight="1">
      <c r="A104" s="124" t="s">
        <v>44</v>
      </c>
      <c r="B104" s="108"/>
      <c r="C104" s="108">
        <v>80101</v>
      </c>
      <c r="D104" s="108"/>
      <c r="E104" s="215">
        <f>SUM(E105:E113)</f>
        <v>17796</v>
      </c>
      <c r="F104" s="215">
        <f>SUM(F105:F113)</f>
        <v>17796</v>
      </c>
      <c r="G104" s="215">
        <f>SUM(G105:G113)</f>
        <v>14213.710000000001</v>
      </c>
      <c r="H104" s="162">
        <f t="shared" si="3"/>
        <v>0.7987025174196449</v>
      </c>
      <c r="I104" s="162">
        <f t="shared" si="2"/>
        <v>0.0010604687769023248</v>
      </c>
      <c r="J104" s="166">
        <f>SUM(J106:J111)</f>
        <v>848.8</v>
      </c>
    </row>
    <row r="105" spans="1:10" s="219" customFormat="1" ht="37.5" customHeight="1">
      <c r="A105" s="136" t="s">
        <v>535</v>
      </c>
      <c r="B105" s="10"/>
      <c r="C105" s="10"/>
      <c r="D105" s="10" t="s">
        <v>443</v>
      </c>
      <c r="E105" s="230">
        <v>26</v>
      </c>
      <c r="F105" s="95">
        <v>26</v>
      </c>
      <c r="G105" s="95">
        <v>26</v>
      </c>
      <c r="H105" s="117">
        <f t="shared" si="3"/>
        <v>1</v>
      </c>
      <c r="I105" s="117">
        <f t="shared" si="2"/>
        <v>1.9398305016396454E-06</v>
      </c>
      <c r="J105" s="95">
        <v>0</v>
      </c>
    </row>
    <row r="106" spans="1:12" ht="12.75">
      <c r="A106" s="4" t="s">
        <v>152</v>
      </c>
      <c r="B106" s="3"/>
      <c r="C106" s="3"/>
      <c r="D106" s="3" t="s">
        <v>131</v>
      </c>
      <c r="E106" s="228">
        <v>20</v>
      </c>
      <c r="F106" s="56">
        <v>20</v>
      </c>
      <c r="G106" s="56">
        <v>54</v>
      </c>
      <c r="H106" s="117">
        <f t="shared" si="3"/>
        <v>2.7</v>
      </c>
      <c r="I106" s="117">
        <f t="shared" si="2"/>
        <v>4.028878734174648E-06</v>
      </c>
      <c r="J106" s="62">
        <v>0</v>
      </c>
      <c r="L106" s="93"/>
    </row>
    <row r="107" spans="1:12" ht="38.25" customHeight="1">
      <c r="A107" s="136" t="s">
        <v>334</v>
      </c>
      <c r="B107" s="3"/>
      <c r="C107" s="3"/>
      <c r="D107" s="35" t="s">
        <v>98</v>
      </c>
      <c r="E107" s="228">
        <v>17740</v>
      </c>
      <c r="F107" s="56">
        <v>17740</v>
      </c>
      <c r="G107" s="56">
        <v>13922.79</v>
      </c>
      <c r="H107" s="37">
        <f t="shared" si="3"/>
        <v>0.7848246899661782</v>
      </c>
      <c r="I107" s="117">
        <f t="shared" si="2"/>
        <v>0.001038763565766286</v>
      </c>
      <c r="J107" s="54">
        <v>848.8</v>
      </c>
      <c r="L107" s="93"/>
    </row>
    <row r="108" spans="1:10" ht="12.75">
      <c r="A108" s="4" t="s">
        <v>56</v>
      </c>
      <c r="B108" s="3"/>
      <c r="C108" s="3"/>
      <c r="D108" s="10" t="s">
        <v>122</v>
      </c>
      <c r="E108" s="228">
        <v>0</v>
      </c>
      <c r="F108" s="54">
        <v>0</v>
      </c>
      <c r="G108" s="54">
        <v>0</v>
      </c>
      <c r="H108" s="37">
        <v>0</v>
      </c>
      <c r="I108" s="117">
        <f t="shared" si="2"/>
        <v>0</v>
      </c>
      <c r="J108" s="62">
        <v>0</v>
      </c>
    </row>
    <row r="109" spans="1:10" ht="12.75" hidden="1">
      <c r="A109" s="11" t="s">
        <v>326</v>
      </c>
      <c r="B109" s="3"/>
      <c r="C109" s="3"/>
      <c r="D109" s="10" t="s">
        <v>327</v>
      </c>
      <c r="E109" s="228">
        <v>0</v>
      </c>
      <c r="F109" s="54">
        <v>0</v>
      </c>
      <c r="G109" s="54">
        <v>0</v>
      </c>
      <c r="H109" s="37" t="e">
        <f t="shared" si="3"/>
        <v>#DIV/0!</v>
      </c>
      <c r="I109" s="117">
        <f t="shared" si="2"/>
        <v>0</v>
      </c>
      <c r="J109" s="62">
        <v>0</v>
      </c>
    </row>
    <row r="110" spans="1:10" ht="12.75">
      <c r="A110" s="11" t="s">
        <v>409</v>
      </c>
      <c r="B110" s="3"/>
      <c r="C110" s="3"/>
      <c r="D110" s="10" t="s">
        <v>99</v>
      </c>
      <c r="E110" s="228">
        <v>10</v>
      </c>
      <c r="F110" s="54">
        <v>10</v>
      </c>
      <c r="G110" s="54">
        <v>3.42</v>
      </c>
      <c r="H110" s="37">
        <f t="shared" si="3"/>
        <v>0.34199999999999997</v>
      </c>
      <c r="I110" s="117">
        <f t="shared" si="2"/>
        <v>2.5516231983106104E-07</v>
      </c>
      <c r="J110" s="62">
        <v>0</v>
      </c>
    </row>
    <row r="111" spans="1:10" s="94" customFormat="1" ht="12.75">
      <c r="A111" s="36" t="s">
        <v>8</v>
      </c>
      <c r="B111" s="35"/>
      <c r="C111" s="35"/>
      <c r="D111" s="35" t="s">
        <v>189</v>
      </c>
      <c r="E111" s="232">
        <v>0</v>
      </c>
      <c r="F111" s="59">
        <v>0</v>
      </c>
      <c r="G111" s="59">
        <v>207.5</v>
      </c>
      <c r="H111" s="37"/>
      <c r="I111" s="117">
        <f t="shared" si="2"/>
        <v>1.5481339580393325E-05</v>
      </c>
      <c r="J111" s="65">
        <v>0</v>
      </c>
    </row>
    <row r="112" spans="1:10" s="94" customFormat="1" ht="26.25" customHeight="1" hidden="1">
      <c r="A112" s="36" t="s">
        <v>262</v>
      </c>
      <c r="B112" s="35"/>
      <c r="C112" s="35"/>
      <c r="D112" s="10" t="s">
        <v>100</v>
      </c>
      <c r="E112" s="232">
        <v>0</v>
      </c>
      <c r="F112" s="59">
        <v>0</v>
      </c>
      <c r="G112" s="59">
        <v>0</v>
      </c>
      <c r="H112" s="37" t="e">
        <f t="shared" si="3"/>
        <v>#DIV/0!</v>
      </c>
      <c r="I112" s="117">
        <f t="shared" si="2"/>
        <v>0</v>
      </c>
      <c r="J112" s="59">
        <v>0</v>
      </c>
    </row>
    <row r="113" spans="1:10" s="94" customFormat="1" ht="39.75" customHeight="1" hidden="1">
      <c r="A113" s="36" t="s">
        <v>303</v>
      </c>
      <c r="B113" s="35"/>
      <c r="C113" s="35"/>
      <c r="D113" s="10" t="s">
        <v>329</v>
      </c>
      <c r="E113" s="232">
        <v>0</v>
      </c>
      <c r="F113" s="59">
        <v>0</v>
      </c>
      <c r="G113" s="59">
        <v>0</v>
      </c>
      <c r="H113" s="37">
        <v>0</v>
      </c>
      <c r="I113" s="117">
        <f t="shared" si="2"/>
        <v>0</v>
      </c>
      <c r="J113" s="59">
        <v>0</v>
      </c>
    </row>
    <row r="114" spans="1:10" s="89" customFormat="1" ht="15" customHeight="1">
      <c r="A114" s="124" t="s">
        <v>120</v>
      </c>
      <c r="B114" s="108"/>
      <c r="C114" s="108" t="s">
        <v>121</v>
      </c>
      <c r="D114" s="108"/>
      <c r="E114" s="215">
        <f>SUM(E115,E116,E117,E120,E121,E118)</f>
        <v>537869</v>
      </c>
      <c r="F114" s="215">
        <f>SUM(F115,F116,F117,F120,F121,F118)</f>
        <v>593343</v>
      </c>
      <c r="G114" s="215">
        <f>SUM(G115,G116,G117,G120,G121,G118)</f>
        <v>295217.83</v>
      </c>
      <c r="H114" s="162">
        <f t="shared" si="3"/>
        <v>0.4975500342971941</v>
      </c>
      <c r="I114" s="162">
        <f t="shared" si="2"/>
        <v>0.022025867356225675</v>
      </c>
      <c r="J114" s="161">
        <f>SUM(J115:J121)</f>
        <v>1594.31</v>
      </c>
    </row>
    <row r="115" spans="1:10" ht="25.5">
      <c r="A115" s="12" t="s">
        <v>411</v>
      </c>
      <c r="B115" s="10"/>
      <c r="C115" s="10"/>
      <c r="D115" s="10" t="s">
        <v>410</v>
      </c>
      <c r="E115" s="230">
        <v>42927</v>
      </c>
      <c r="F115" s="95">
        <v>42927</v>
      </c>
      <c r="G115" s="95">
        <v>19888.58</v>
      </c>
      <c r="H115" s="117">
        <f t="shared" si="3"/>
        <v>0.4633116686467725</v>
      </c>
      <c r="I115" s="117">
        <f t="shared" si="2"/>
        <v>0.0014838643891653932</v>
      </c>
      <c r="J115" s="60">
        <v>958.6</v>
      </c>
    </row>
    <row r="116" spans="1:10" ht="25.5" customHeight="1">
      <c r="A116" s="136" t="s">
        <v>413</v>
      </c>
      <c r="B116" s="10"/>
      <c r="C116" s="10"/>
      <c r="D116" s="10" t="s">
        <v>412</v>
      </c>
      <c r="E116" s="230">
        <v>95462</v>
      </c>
      <c r="F116" s="95">
        <v>95462</v>
      </c>
      <c r="G116" s="95">
        <v>62487.7</v>
      </c>
      <c r="H116" s="117">
        <f t="shared" si="3"/>
        <v>0.6545819278875363</v>
      </c>
      <c r="I116" s="117">
        <f t="shared" si="2"/>
        <v>0.00466213640143491</v>
      </c>
      <c r="J116" s="60">
        <v>625.31</v>
      </c>
    </row>
    <row r="117" spans="1:10" ht="12.75">
      <c r="A117" s="12" t="s">
        <v>56</v>
      </c>
      <c r="B117" s="3"/>
      <c r="C117" s="10"/>
      <c r="D117" s="10" t="s">
        <v>122</v>
      </c>
      <c r="E117" s="228">
        <v>228130</v>
      </c>
      <c r="F117" s="54">
        <v>283604</v>
      </c>
      <c r="G117" s="54">
        <v>127198.63</v>
      </c>
      <c r="H117" s="117">
        <f t="shared" si="3"/>
        <v>0.4485078842329445</v>
      </c>
      <c r="I117" s="117">
        <f t="shared" si="2"/>
        <v>0.009490145470799063</v>
      </c>
      <c r="J117" s="62">
        <v>0</v>
      </c>
    </row>
    <row r="118" spans="1:10" ht="12.75">
      <c r="A118" s="11" t="s">
        <v>409</v>
      </c>
      <c r="B118" s="3"/>
      <c r="C118" s="10"/>
      <c r="D118" s="10" t="s">
        <v>99</v>
      </c>
      <c r="E118" s="228">
        <v>100</v>
      </c>
      <c r="F118" s="54">
        <v>100</v>
      </c>
      <c r="G118" s="54">
        <v>16.92</v>
      </c>
      <c r="H118" s="117">
        <f t="shared" si="3"/>
        <v>0.16920000000000002</v>
      </c>
      <c r="I118" s="117">
        <f t="shared" si="2"/>
        <v>1.2623820033747232E-06</v>
      </c>
      <c r="J118" s="62">
        <v>10.4</v>
      </c>
    </row>
    <row r="119" spans="1:10" ht="25.5" hidden="1">
      <c r="A119" s="36" t="s">
        <v>259</v>
      </c>
      <c r="B119" s="3"/>
      <c r="C119" s="10"/>
      <c r="D119" s="35" t="s">
        <v>260</v>
      </c>
      <c r="E119" s="228">
        <v>0</v>
      </c>
      <c r="F119" s="54">
        <v>0</v>
      </c>
      <c r="G119" s="54">
        <v>0</v>
      </c>
      <c r="H119" s="117">
        <v>0</v>
      </c>
      <c r="I119" s="117">
        <f t="shared" si="2"/>
        <v>0</v>
      </c>
      <c r="J119" s="54">
        <v>0</v>
      </c>
    </row>
    <row r="120" spans="1:10" ht="25.5" customHeight="1">
      <c r="A120" s="12" t="s">
        <v>269</v>
      </c>
      <c r="B120" s="3"/>
      <c r="C120" s="10"/>
      <c r="D120" s="10" t="s">
        <v>154</v>
      </c>
      <c r="E120" s="228">
        <v>171250</v>
      </c>
      <c r="F120" s="54">
        <v>171250</v>
      </c>
      <c r="G120" s="54">
        <v>85626</v>
      </c>
      <c r="H120" s="117">
        <f t="shared" si="3"/>
        <v>0.5000058394160584</v>
      </c>
      <c r="I120" s="117">
        <f t="shared" si="2"/>
        <v>0.006388458712822934</v>
      </c>
      <c r="J120" s="54">
        <v>0</v>
      </c>
    </row>
    <row r="121" spans="1:10" s="89" customFormat="1" ht="15" customHeight="1" hidden="1">
      <c r="A121" s="134" t="s">
        <v>337</v>
      </c>
      <c r="B121" s="3"/>
      <c r="C121" s="10"/>
      <c r="D121" s="35" t="s">
        <v>94</v>
      </c>
      <c r="E121" s="228">
        <v>0</v>
      </c>
      <c r="F121" s="54">
        <v>0</v>
      </c>
      <c r="G121" s="54">
        <v>0</v>
      </c>
      <c r="H121" s="117"/>
      <c r="I121" s="117">
        <f t="shared" si="2"/>
        <v>0</v>
      </c>
      <c r="J121" s="54">
        <v>0</v>
      </c>
    </row>
    <row r="122" spans="1:10" s="89" customFormat="1" ht="15" customHeight="1" hidden="1">
      <c r="A122" s="124" t="s">
        <v>46</v>
      </c>
      <c r="B122" s="108"/>
      <c r="C122" s="108">
        <v>80110</v>
      </c>
      <c r="D122" s="108"/>
      <c r="E122" s="215">
        <f>SUM(E123:E123)</f>
        <v>0</v>
      </c>
      <c r="F122" s="215">
        <f>SUM(F123:F123)</f>
        <v>0</v>
      </c>
      <c r="G122" s="215">
        <f>SUM(G123:G123)</f>
        <v>0</v>
      </c>
      <c r="H122" s="162" t="e">
        <f t="shared" si="3"/>
        <v>#DIV/0!</v>
      </c>
      <c r="I122" s="117">
        <f t="shared" si="2"/>
        <v>0</v>
      </c>
      <c r="J122" s="167">
        <v>0</v>
      </c>
    </row>
    <row r="123" spans="1:10" ht="25.5" hidden="1">
      <c r="A123" s="36" t="s">
        <v>262</v>
      </c>
      <c r="B123" s="3"/>
      <c r="C123" s="3"/>
      <c r="D123" s="10" t="s">
        <v>100</v>
      </c>
      <c r="E123" s="228">
        <v>0</v>
      </c>
      <c r="F123" s="54">
        <v>0</v>
      </c>
      <c r="G123" s="54">
        <v>0</v>
      </c>
      <c r="H123" s="117" t="e">
        <f t="shared" si="3"/>
        <v>#DIV/0!</v>
      </c>
      <c r="I123" s="117">
        <f t="shared" si="2"/>
        <v>0</v>
      </c>
      <c r="J123" s="54">
        <v>0</v>
      </c>
    </row>
    <row r="124" spans="1:10" ht="15" customHeight="1">
      <c r="A124" s="87" t="s">
        <v>136</v>
      </c>
      <c r="B124" s="108"/>
      <c r="C124" s="108" t="s">
        <v>137</v>
      </c>
      <c r="D124" s="108"/>
      <c r="E124" s="215">
        <f>E125</f>
        <v>41105.65</v>
      </c>
      <c r="F124" s="161">
        <f>F125</f>
        <v>41105.65</v>
      </c>
      <c r="G124" s="161">
        <f>G125</f>
        <v>0</v>
      </c>
      <c r="H124" s="162">
        <f t="shared" si="3"/>
        <v>0</v>
      </c>
      <c r="I124" s="162">
        <f t="shared" si="2"/>
        <v>0</v>
      </c>
      <c r="J124" s="161">
        <v>0</v>
      </c>
    </row>
    <row r="125" spans="1:10" s="89" customFormat="1" ht="47.25" customHeight="1">
      <c r="A125" s="235" t="s">
        <v>498</v>
      </c>
      <c r="B125" s="3"/>
      <c r="C125" s="3"/>
      <c r="D125" s="10" t="s">
        <v>430</v>
      </c>
      <c r="E125" s="228">
        <v>41105.65</v>
      </c>
      <c r="F125" s="54">
        <v>41105.65</v>
      </c>
      <c r="G125" s="54">
        <v>0</v>
      </c>
      <c r="H125" s="117">
        <f t="shared" si="3"/>
        <v>0</v>
      </c>
      <c r="I125" s="117">
        <f t="shared" si="2"/>
        <v>0</v>
      </c>
      <c r="J125" s="54">
        <v>0</v>
      </c>
    </row>
    <row r="126" spans="1:10" ht="15" customHeight="1">
      <c r="A126" s="124" t="s">
        <v>304</v>
      </c>
      <c r="B126" s="108"/>
      <c r="C126" s="108" t="s">
        <v>222</v>
      </c>
      <c r="D126" s="108"/>
      <c r="E126" s="215">
        <f>SUM(E127,E128)</f>
        <v>86945</v>
      </c>
      <c r="F126" s="215">
        <f>SUM(F127,F128)</f>
        <v>86945</v>
      </c>
      <c r="G126" s="215">
        <f>SUM(G127,G128)</f>
        <v>46743.6</v>
      </c>
      <c r="H126" s="165">
        <f t="shared" si="3"/>
        <v>0.5376226349991373</v>
      </c>
      <c r="I126" s="162">
        <f t="shared" si="2"/>
        <v>0.0034874869629401123</v>
      </c>
      <c r="J126" s="161">
        <f>J127+J128</f>
        <v>0</v>
      </c>
    </row>
    <row r="127" spans="1:12" ht="12.75">
      <c r="A127" s="36" t="s">
        <v>56</v>
      </c>
      <c r="B127" s="3"/>
      <c r="C127" s="3"/>
      <c r="D127" s="35" t="s">
        <v>122</v>
      </c>
      <c r="E127" s="228">
        <v>86935</v>
      </c>
      <c r="F127" s="54">
        <v>86935</v>
      </c>
      <c r="G127" s="54">
        <v>46741.96</v>
      </c>
      <c r="H127" s="37">
        <f t="shared" si="3"/>
        <v>0.5376656122390292</v>
      </c>
      <c r="I127" s="117">
        <f t="shared" si="2"/>
        <v>0.0034873646044007783</v>
      </c>
      <c r="J127" s="62">
        <v>0</v>
      </c>
      <c r="L127" s="93"/>
    </row>
    <row r="128" spans="1:10" ht="12.75">
      <c r="A128" s="11" t="s">
        <v>409</v>
      </c>
      <c r="B128" s="3"/>
      <c r="C128" s="3"/>
      <c r="D128" s="35" t="s">
        <v>99</v>
      </c>
      <c r="E128" s="228">
        <v>10</v>
      </c>
      <c r="F128" s="54">
        <v>10</v>
      </c>
      <c r="G128" s="54">
        <v>1.64</v>
      </c>
      <c r="H128" s="37">
        <f t="shared" si="3"/>
        <v>0.16399999999999998</v>
      </c>
      <c r="I128" s="117">
        <f t="shared" si="2"/>
        <v>1.2235853933419302E-07</v>
      </c>
      <c r="J128" s="62">
        <v>0</v>
      </c>
    </row>
    <row r="129" spans="1:10" s="89" customFormat="1" ht="47.25" customHeight="1" hidden="1">
      <c r="A129" s="216" t="s">
        <v>422</v>
      </c>
      <c r="B129" s="108"/>
      <c r="C129" s="108" t="s">
        <v>384</v>
      </c>
      <c r="D129" s="108"/>
      <c r="E129" s="215">
        <f>E130+E131</f>
        <v>0</v>
      </c>
      <c r="F129" s="161">
        <f>SUM(F130,F131)</f>
        <v>0</v>
      </c>
      <c r="G129" s="161">
        <f>SUM(G130:G131)</f>
        <v>0</v>
      </c>
      <c r="H129" s="37" t="e">
        <f t="shared" si="3"/>
        <v>#DIV/0!</v>
      </c>
      <c r="I129" s="117">
        <f t="shared" si="2"/>
        <v>0</v>
      </c>
      <c r="J129" s="161">
        <v>0</v>
      </c>
    </row>
    <row r="130" spans="1:10" s="94" customFormat="1" ht="25.5" customHeight="1" hidden="1">
      <c r="A130" s="12" t="s">
        <v>411</v>
      </c>
      <c r="B130" s="10"/>
      <c r="C130" s="10"/>
      <c r="D130" s="10" t="s">
        <v>410</v>
      </c>
      <c r="E130" s="230">
        <v>0</v>
      </c>
      <c r="F130" s="60">
        <v>0</v>
      </c>
      <c r="G130" s="60">
        <v>0</v>
      </c>
      <c r="H130" s="37" t="e">
        <f t="shared" si="3"/>
        <v>#DIV/0!</v>
      </c>
      <c r="I130" s="117">
        <f t="shared" si="2"/>
        <v>0</v>
      </c>
      <c r="J130" s="60">
        <v>0</v>
      </c>
    </row>
    <row r="131" spans="1:10" s="94" customFormat="1" ht="25.5" customHeight="1" hidden="1">
      <c r="A131" s="12" t="s">
        <v>176</v>
      </c>
      <c r="B131" s="10"/>
      <c r="C131" s="10"/>
      <c r="D131" s="10" t="s">
        <v>154</v>
      </c>
      <c r="E131" s="230">
        <v>0</v>
      </c>
      <c r="F131" s="60">
        <v>0</v>
      </c>
      <c r="G131" s="60">
        <v>0</v>
      </c>
      <c r="H131" s="37" t="e">
        <f t="shared" si="3"/>
        <v>#DIV/0!</v>
      </c>
      <c r="I131" s="117">
        <f t="shared" si="2"/>
        <v>0</v>
      </c>
      <c r="J131" s="137">
        <v>0</v>
      </c>
    </row>
    <row r="132" spans="1:10" ht="58.5" customHeight="1" hidden="1">
      <c r="A132" s="216" t="s">
        <v>390</v>
      </c>
      <c r="B132" s="108"/>
      <c r="C132" s="108" t="s">
        <v>385</v>
      </c>
      <c r="D132" s="108"/>
      <c r="E132" s="215">
        <v>0</v>
      </c>
      <c r="F132" s="161">
        <f>F133</f>
        <v>0</v>
      </c>
      <c r="G132" s="161">
        <f>G133</f>
        <v>0</v>
      </c>
      <c r="H132" s="37" t="e">
        <f t="shared" si="3"/>
        <v>#DIV/0!</v>
      </c>
      <c r="I132" s="117">
        <f t="shared" si="2"/>
        <v>0</v>
      </c>
      <c r="J132" s="161">
        <v>0</v>
      </c>
    </row>
    <row r="133" spans="1:10" ht="27.75" customHeight="1" hidden="1">
      <c r="A133" s="36" t="s">
        <v>262</v>
      </c>
      <c r="B133" s="3"/>
      <c r="C133" s="34"/>
      <c r="D133" s="10" t="s">
        <v>100</v>
      </c>
      <c r="E133" s="228">
        <v>0</v>
      </c>
      <c r="F133" s="54">
        <v>0</v>
      </c>
      <c r="G133" s="54">
        <v>0</v>
      </c>
      <c r="H133" s="37" t="e">
        <f t="shared" si="3"/>
        <v>#DIV/0!</v>
      </c>
      <c r="I133" s="117">
        <f aca="true" t="shared" si="4" ref="I133:I196">G133/13403232.9</f>
        <v>0</v>
      </c>
      <c r="J133" s="54">
        <v>0</v>
      </c>
    </row>
    <row r="134" spans="1:10" s="89" customFormat="1" ht="38.25" customHeight="1">
      <c r="A134" s="124" t="s">
        <v>513</v>
      </c>
      <c r="B134" s="108"/>
      <c r="C134" s="108" t="s">
        <v>503</v>
      </c>
      <c r="D134" s="108"/>
      <c r="E134" s="215">
        <f>E135+E136</f>
        <v>0</v>
      </c>
      <c r="F134" s="215">
        <f>F135+F136</f>
        <v>52482.54</v>
      </c>
      <c r="G134" s="215">
        <f>G135+G136</f>
        <v>52490.840000000004</v>
      </c>
      <c r="H134" s="162">
        <f t="shared" si="3"/>
        <v>1.0001581478335462</v>
      </c>
      <c r="I134" s="162">
        <f t="shared" si="4"/>
        <v>0.00391628201879563</v>
      </c>
      <c r="J134" s="161">
        <v>0</v>
      </c>
    </row>
    <row r="135" spans="1:10" ht="12.75" customHeight="1">
      <c r="A135" s="12" t="s">
        <v>8</v>
      </c>
      <c r="B135" s="3"/>
      <c r="C135" s="34"/>
      <c r="D135" s="10" t="s">
        <v>189</v>
      </c>
      <c r="E135" s="228">
        <v>0</v>
      </c>
      <c r="F135" s="54">
        <v>72</v>
      </c>
      <c r="G135" s="54">
        <v>80.3</v>
      </c>
      <c r="H135" s="37">
        <f t="shared" si="3"/>
        <v>1.1152777777777778</v>
      </c>
      <c r="I135" s="117">
        <f t="shared" si="4"/>
        <v>5.991091895448597E-06</v>
      </c>
      <c r="J135" s="54">
        <v>0</v>
      </c>
    </row>
    <row r="136" spans="1:10" ht="38.25" customHeight="1">
      <c r="A136" s="136" t="s">
        <v>333</v>
      </c>
      <c r="B136" s="3"/>
      <c r="C136" s="34"/>
      <c r="D136" s="10" t="s">
        <v>100</v>
      </c>
      <c r="E136" s="228">
        <v>0</v>
      </c>
      <c r="F136" s="54">
        <v>52410.54</v>
      </c>
      <c r="G136" s="54">
        <v>52410.54</v>
      </c>
      <c r="H136" s="37">
        <f t="shared" si="3"/>
        <v>1</v>
      </c>
      <c r="I136" s="117">
        <f t="shared" si="4"/>
        <v>0.003910290926900181</v>
      </c>
      <c r="J136" s="54">
        <v>0</v>
      </c>
    </row>
    <row r="137" spans="1:10" s="89" customFormat="1" ht="18" customHeight="1">
      <c r="A137" s="8" t="s">
        <v>48</v>
      </c>
      <c r="B137" s="34" t="s">
        <v>263</v>
      </c>
      <c r="C137" s="34"/>
      <c r="D137" s="34"/>
      <c r="E137" s="220">
        <f>SUM(E138)</f>
        <v>0</v>
      </c>
      <c r="F137" s="57">
        <f>F138</f>
        <v>2198</v>
      </c>
      <c r="G137" s="57">
        <f>G138</f>
        <v>2198</v>
      </c>
      <c r="H137" s="112">
        <f t="shared" si="3"/>
        <v>1</v>
      </c>
      <c r="I137" s="112">
        <f t="shared" si="4"/>
        <v>0.00016399028625399773</v>
      </c>
      <c r="J137" s="64">
        <v>0</v>
      </c>
    </row>
    <row r="138" spans="1:10" ht="15" customHeight="1">
      <c r="A138" s="124" t="s">
        <v>504</v>
      </c>
      <c r="B138" s="108"/>
      <c r="C138" s="108" t="s">
        <v>489</v>
      </c>
      <c r="D138" s="108"/>
      <c r="E138" s="215">
        <f>SUM(E139:E140)</f>
        <v>0</v>
      </c>
      <c r="F138" s="161">
        <f>SUM(F139:F140)</f>
        <v>2198</v>
      </c>
      <c r="G138" s="161">
        <f>G139+G140</f>
        <v>2198</v>
      </c>
      <c r="H138" s="162">
        <f t="shared" si="3"/>
        <v>1</v>
      </c>
      <c r="I138" s="162">
        <f t="shared" si="4"/>
        <v>0.00016399028625399773</v>
      </c>
      <c r="J138" s="167">
        <v>0</v>
      </c>
    </row>
    <row r="139" spans="1:10" ht="25.5">
      <c r="A139" s="12" t="s">
        <v>447</v>
      </c>
      <c r="B139" s="35"/>
      <c r="C139" s="3"/>
      <c r="D139" s="10" t="s">
        <v>103</v>
      </c>
      <c r="E139" s="228">
        <v>0</v>
      </c>
      <c r="F139" s="54">
        <v>98</v>
      </c>
      <c r="G139" s="54">
        <v>98</v>
      </c>
      <c r="H139" s="37">
        <f t="shared" si="3"/>
        <v>1</v>
      </c>
      <c r="I139" s="117">
        <f t="shared" si="4"/>
        <v>7.311668813872509E-06</v>
      </c>
      <c r="J139" s="62">
        <v>0</v>
      </c>
    </row>
    <row r="140" spans="1:10" ht="47.25" customHeight="1">
      <c r="A140" s="235" t="s">
        <v>505</v>
      </c>
      <c r="B140" s="35"/>
      <c r="C140" s="3"/>
      <c r="D140" s="10" t="s">
        <v>244</v>
      </c>
      <c r="E140" s="228">
        <v>0</v>
      </c>
      <c r="F140" s="54">
        <v>2100</v>
      </c>
      <c r="G140" s="54">
        <v>2100</v>
      </c>
      <c r="H140" s="37">
        <f t="shared" si="3"/>
        <v>1</v>
      </c>
      <c r="I140" s="117">
        <f t="shared" si="4"/>
        <v>0.0001566786174401252</v>
      </c>
      <c r="J140" s="54">
        <v>0</v>
      </c>
    </row>
    <row r="141" spans="1:10" s="89" customFormat="1" ht="18" customHeight="1">
      <c r="A141" s="8" t="s">
        <v>123</v>
      </c>
      <c r="B141" s="2" t="s">
        <v>124</v>
      </c>
      <c r="C141" s="34"/>
      <c r="D141" s="34"/>
      <c r="E141" s="220">
        <f>E142+E145+E148+E150+E153+E157+E159+E164</f>
        <v>519355</v>
      </c>
      <c r="F141" s="220">
        <f>F142+F145+F148+F150+F153+F157+F159+F164</f>
        <v>500956.36</v>
      </c>
      <c r="G141" s="220">
        <f>G142+G145+G148+G150+G153+G157+G159+G164</f>
        <v>339313.22</v>
      </c>
      <c r="H141" s="112">
        <f t="shared" si="3"/>
        <v>0.6773308956492737</v>
      </c>
      <c r="I141" s="112">
        <f t="shared" si="4"/>
        <v>0.02531577437559859</v>
      </c>
      <c r="J141" s="96">
        <f>SUM(J142,J145,J148,J150,J153,J157,J159,J164)</f>
        <v>0</v>
      </c>
    </row>
    <row r="142" spans="1:10" ht="49.5" customHeight="1">
      <c r="A142" s="138" t="s">
        <v>424</v>
      </c>
      <c r="B142" s="108"/>
      <c r="C142" s="108" t="s">
        <v>125</v>
      </c>
      <c r="D142" s="108"/>
      <c r="E142" s="215">
        <f>SUM(E143,E144)</f>
        <v>52000</v>
      </c>
      <c r="F142" s="215">
        <f>SUM(F143,F144)</f>
        <v>52000</v>
      </c>
      <c r="G142" s="215">
        <f>SUM(G143,G144)</f>
        <v>28076</v>
      </c>
      <c r="H142" s="165">
        <f t="shared" si="3"/>
        <v>0.539923076923077</v>
      </c>
      <c r="I142" s="162">
        <f t="shared" si="4"/>
        <v>0.002094718506309026</v>
      </c>
      <c r="J142" s="161">
        <f>SUM(J143,J144)</f>
        <v>0</v>
      </c>
    </row>
    <row r="143" spans="1:10" ht="36">
      <c r="A143" s="136" t="s">
        <v>333</v>
      </c>
      <c r="B143" s="3"/>
      <c r="C143" s="3"/>
      <c r="D143" s="10" t="s">
        <v>100</v>
      </c>
      <c r="E143" s="228">
        <v>33000</v>
      </c>
      <c r="F143" s="54">
        <v>33000</v>
      </c>
      <c r="G143" s="54">
        <v>17973</v>
      </c>
      <c r="H143" s="37">
        <f t="shared" si="3"/>
        <v>0.5446363636363636</v>
      </c>
      <c r="I143" s="117">
        <f t="shared" si="4"/>
        <v>0.0013409451386911287</v>
      </c>
      <c r="J143" s="54">
        <v>0</v>
      </c>
    </row>
    <row r="144" spans="1:10" s="89" customFormat="1" ht="24" customHeight="1">
      <c r="A144" s="12" t="s">
        <v>305</v>
      </c>
      <c r="B144" s="10"/>
      <c r="C144" s="10"/>
      <c r="D144" s="10" t="s">
        <v>154</v>
      </c>
      <c r="E144" s="230">
        <v>19000</v>
      </c>
      <c r="F144" s="60">
        <v>19000</v>
      </c>
      <c r="G144" s="60">
        <v>10103</v>
      </c>
      <c r="H144" s="37">
        <f t="shared" si="3"/>
        <v>0.5317368421052632</v>
      </c>
      <c r="I144" s="117">
        <f t="shared" si="4"/>
        <v>0.0007537733676178976</v>
      </c>
      <c r="J144" s="54">
        <v>0</v>
      </c>
    </row>
    <row r="145" spans="1:10" s="89" customFormat="1" ht="27.75" customHeight="1">
      <c r="A145" s="124" t="s">
        <v>230</v>
      </c>
      <c r="B145" s="108"/>
      <c r="C145" s="108" t="s">
        <v>126</v>
      </c>
      <c r="D145" s="108"/>
      <c r="E145" s="215">
        <f>E147</f>
        <v>122000</v>
      </c>
      <c r="F145" s="161">
        <f>F147+F146</f>
        <v>119450</v>
      </c>
      <c r="G145" s="161">
        <f>G147+G146</f>
        <v>96466</v>
      </c>
      <c r="H145" s="162">
        <f t="shared" si="3"/>
        <v>0.8075847634993721</v>
      </c>
      <c r="I145" s="162">
        <f t="shared" si="4"/>
        <v>0.007197218814275771</v>
      </c>
      <c r="J145" s="161">
        <v>0</v>
      </c>
    </row>
    <row r="146" spans="1:10" s="94" customFormat="1" ht="12.75" customHeight="1">
      <c r="A146" s="12" t="s">
        <v>439</v>
      </c>
      <c r="B146" s="10"/>
      <c r="C146" s="10"/>
      <c r="D146" s="10" t="s">
        <v>440</v>
      </c>
      <c r="E146" s="230">
        <v>0</v>
      </c>
      <c r="F146" s="60">
        <v>450</v>
      </c>
      <c r="G146" s="60">
        <v>150</v>
      </c>
      <c r="H146" s="117">
        <f t="shared" si="3"/>
        <v>0.3333333333333333</v>
      </c>
      <c r="I146" s="117">
        <f t="shared" si="4"/>
        <v>1.11913298171518E-05</v>
      </c>
      <c r="J146" s="60">
        <v>0</v>
      </c>
    </row>
    <row r="147" spans="1:10" s="94" customFormat="1" ht="25.5" customHeight="1">
      <c r="A147" s="12" t="s">
        <v>414</v>
      </c>
      <c r="B147" s="10"/>
      <c r="C147" s="10"/>
      <c r="D147" s="10" t="s">
        <v>154</v>
      </c>
      <c r="E147" s="230">
        <v>122000</v>
      </c>
      <c r="F147" s="60">
        <v>119000</v>
      </c>
      <c r="G147" s="60">
        <v>96316</v>
      </c>
      <c r="H147" s="117">
        <f t="shared" si="3"/>
        <v>0.8093781512605042</v>
      </c>
      <c r="I147" s="117">
        <f t="shared" si="4"/>
        <v>0.007186027484458618</v>
      </c>
      <c r="J147" s="60">
        <v>0</v>
      </c>
    </row>
    <row r="148" spans="1:10" ht="15" customHeight="1">
      <c r="A148" s="124" t="s">
        <v>52</v>
      </c>
      <c r="B148" s="108"/>
      <c r="C148" s="108" t="s">
        <v>147</v>
      </c>
      <c r="D148" s="108"/>
      <c r="E148" s="215">
        <f>E149</f>
        <v>0</v>
      </c>
      <c r="F148" s="166">
        <f>F149</f>
        <v>692.36</v>
      </c>
      <c r="G148" s="166">
        <f>G149</f>
        <v>692.36</v>
      </c>
      <c r="H148" s="165">
        <f t="shared" si="3"/>
        <v>1</v>
      </c>
      <c r="I148" s="162">
        <f t="shared" si="4"/>
        <v>5.16561940813548E-05</v>
      </c>
      <c r="J148" s="167">
        <v>0</v>
      </c>
    </row>
    <row r="149" spans="1:10" s="89" customFormat="1" ht="39" customHeight="1">
      <c r="A149" s="136" t="s">
        <v>333</v>
      </c>
      <c r="B149" s="10"/>
      <c r="C149" s="10"/>
      <c r="D149" s="10" t="s">
        <v>100</v>
      </c>
      <c r="E149" s="230">
        <v>0</v>
      </c>
      <c r="F149" s="60">
        <v>692.36</v>
      </c>
      <c r="G149" s="60">
        <v>692.36</v>
      </c>
      <c r="H149" s="37">
        <f t="shared" si="3"/>
        <v>1</v>
      </c>
      <c r="I149" s="117">
        <f t="shared" si="4"/>
        <v>5.16561940813548E-05</v>
      </c>
      <c r="J149" s="54">
        <v>0</v>
      </c>
    </row>
    <row r="150" spans="1:10" s="89" customFormat="1" ht="15" customHeight="1">
      <c r="A150" s="124" t="s">
        <v>247</v>
      </c>
      <c r="B150" s="108"/>
      <c r="C150" s="108" t="s">
        <v>248</v>
      </c>
      <c r="D150" s="108"/>
      <c r="E150" s="215">
        <f>E152</f>
        <v>139000</v>
      </c>
      <c r="F150" s="161">
        <f>F152+F151</f>
        <v>136047</v>
      </c>
      <c r="G150" s="161">
        <f>G152+G151</f>
        <v>98161</v>
      </c>
      <c r="H150" s="162">
        <f t="shared" si="3"/>
        <v>0.7215227090637795</v>
      </c>
      <c r="I150" s="162">
        <f t="shared" si="4"/>
        <v>0.007323680841209586</v>
      </c>
      <c r="J150" s="161">
        <v>0</v>
      </c>
    </row>
    <row r="151" spans="1:10" s="94" customFormat="1" ht="15" customHeight="1">
      <c r="A151" s="12" t="s">
        <v>439</v>
      </c>
      <c r="B151" s="10"/>
      <c r="C151" s="10"/>
      <c r="D151" s="10" t="s">
        <v>440</v>
      </c>
      <c r="E151" s="230">
        <v>0</v>
      </c>
      <c r="F151" s="60">
        <v>2047</v>
      </c>
      <c r="G151" s="60">
        <v>2047</v>
      </c>
      <c r="H151" s="117">
        <f t="shared" si="3"/>
        <v>1</v>
      </c>
      <c r="I151" s="117">
        <f t="shared" si="4"/>
        <v>0.00015272434757139823</v>
      </c>
      <c r="J151" s="60">
        <v>0</v>
      </c>
    </row>
    <row r="152" spans="1:10" s="94" customFormat="1" ht="25.5" customHeight="1">
      <c r="A152" s="12" t="s">
        <v>269</v>
      </c>
      <c r="B152" s="10"/>
      <c r="C152" s="10"/>
      <c r="D152" s="10" t="s">
        <v>154</v>
      </c>
      <c r="E152" s="230">
        <v>139000</v>
      </c>
      <c r="F152" s="60">
        <v>134000</v>
      </c>
      <c r="G152" s="60">
        <v>96114</v>
      </c>
      <c r="H152" s="37">
        <f t="shared" si="3"/>
        <v>0.7172686567164179</v>
      </c>
      <c r="I152" s="117">
        <f t="shared" si="4"/>
        <v>0.007170956493638188</v>
      </c>
      <c r="J152" s="54">
        <v>0</v>
      </c>
    </row>
    <row r="153" spans="1:10" s="94" customFormat="1" ht="15" customHeight="1">
      <c r="A153" s="124" t="s">
        <v>53</v>
      </c>
      <c r="B153" s="108"/>
      <c r="C153" s="108" t="s">
        <v>127</v>
      </c>
      <c r="D153" s="108"/>
      <c r="E153" s="215">
        <f>SUM(E154:E156)</f>
        <v>133425</v>
      </c>
      <c r="F153" s="166">
        <f>SUM(F154:F156)</f>
        <v>100725</v>
      </c>
      <c r="G153" s="166">
        <f>SUM(G154:G156)</f>
        <v>54451</v>
      </c>
      <c r="H153" s="165">
        <f t="shared" si="3"/>
        <v>0.5405907172995781</v>
      </c>
      <c r="I153" s="162">
        <f t="shared" si="4"/>
        <v>0.0040625273324915515</v>
      </c>
      <c r="J153" s="167">
        <v>0</v>
      </c>
    </row>
    <row r="154" spans="1:10" ht="12.75">
      <c r="A154" s="12" t="s">
        <v>8</v>
      </c>
      <c r="B154" s="10"/>
      <c r="C154" s="10"/>
      <c r="D154" s="10" t="s">
        <v>189</v>
      </c>
      <c r="E154" s="230">
        <v>125</v>
      </c>
      <c r="F154" s="60">
        <v>125</v>
      </c>
      <c r="G154" s="60">
        <v>66</v>
      </c>
      <c r="H154" s="117">
        <f t="shared" si="3"/>
        <v>0.528</v>
      </c>
      <c r="I154" s="117">
        <f t="shared" si="4"/>
        <v>4.924185119546792E-06</v>
      </c>
      <c r="J154" s="137">
        <v>0</v>
      </c>
    </row>
    <row r="155" spans="1:10" ht="38.25">
      <c r="A155" s="12" t="s">
        <v>333</v>
      </c>
      <c r="B155" s="10"/>
      <c r="C155" s="10"/>
      <c r="D155" s="10" t="s">
        <v>100</v>
      </c>
      <c r="E155" s="230">
        <v>1000</v>
      </c>
      <c r="F155" s="60">
        <v>0</v>
      </c>
      <c r="G155" s="60">
        <v>0</v>
      </c>
      <c r="H155" s="117"/>
      <c r="I155" s="117">
        <f t="shared" si="4"/>
        <v>0</v>
      </c>
      <c r="J155" s="60">
        <v>0</v>
      </c>
    </row>
    <row r="156" spans="1:10" s="89" customFormat="1" ht="30" customHeight="1">
      <c r="A156" s="12" t="s">
        <v>269</v>
      </c>
      <c r="B156" s="3"/>
      <c r="C156" s="3"/>
      <c r="D156" s="10" t="s">
        <v>154</v>
      </c>
      <c r="E156" s="228">
        <v>132300</v>
      </c>
      <c r="F156" s="54">
        <v>100600</v>
      </c>
      <c r="G156" s="54">
        <v>54385</v>
      </c>
      <c r="H156" s="37">
        <f t="shared" si="3"/>
        <v>0.5406063618290259</v>
      </c>
      <c r="I156" s="117">
        <f t="shared" si="4"/>
        <v>0.004057603147372004</v>
      </c>
      <c r="J156" s="54">
        <v>0</v>
      </c>
    </row>
    <row r="157" spans="1:10" ht="38.25">
      <c r="A157" s="87" t="s">
        <v>367</v>
      </c>
      <c r="B157" s="108"/>
      <c r="C157" s="108" t="s">
        <v>188</v>
      </c>
      <c r="D157" s="108"/>
      <c r="E157" s="215">
        <f>E158</f>
        <v>2880</v>
      </c>
      <c r="F157" s="161">
        <f>F158</f>
        <v>2880</v>
      </c>
      <c r="G157" s="161">
        <f>G158</f>
        <v>3240</v>
      </c>
      <c r="H157" s="165">
        <f>G157/F157</f>
        <v>1.125</v>
      </c>
      <c r="I157" s="162">
        <f t="shared" si="4"/>
        <v>0.0002417327240504789</v>
      </c>
      <c r="J157" s="161">
        <v>0</v>
      </c>
    </row>
    <row r="158" spans="1:10" s="89" customFormat="1" ht="13.5" customHeight="1">
      <c r="A158" s="36" t="s">
        <v>56</v>
      </c>
      <c r="B158" s="3"/>
      <c r="C158" s="3"/>
      <c r="D158" s="35" t="s">
        <v>122</v>
      </c>
      <c r="E158" s="228">
        <v>2880</v>
      </c>
      <c r="F158" s="54">
        <v>2880</v>
      </c>
      <c r="G158" s="54">
        <v>3240</v>
      </c>
      <c r="H158" s="37">
        <f t="shared" si="3"/>
        <v>1.125</v>
      </c>
      <c r="I158" s="117">
        <f t="shared" si="4"/>
        <v>0.0002417327240504789</v>
      </c>
      <c r="J158" s="54">
        <v>0</v>
      </c>
    </row>
    <row r="159" spans="1:10" ht="25.5">
      <c r="A159" s="124" t="s">
        <v>128</v>
      </c>
      <c r="B159" s="108"/>
      <c r="C159" s="108" t="s">
        <v>129</v>
      </c>
      <c r="D159" s="108"/>
      <c r="E159" s="215">
        <f>SUM(E160:E163)</f>
        <v>27050</v>
      </c>
      <c r="F159" s="161">
        <f>SUM(F160:F163)</f>
        <v>46162</v>
      </c>
      <c r="G159" s="161">
        <f>SUM(G160:G163)</f>
        <v>33301.86</v>
      </c>
      <c r="H159" s="165">
        <f t="shared" si="3"/>
        <v>0.72141285039643</v>
      </c>
      <c r="I159" s="162">
        <f t="shared" si="4"/>
        <v>0.0024846139918974323</v>
      </c>
      <c r="J159" s="161">
        <v>0</v>
      </c>
    </row>
    <row r="160" spans="1:10" ht="12.75">
      <c r="A160" s="12" t="s">
        <v>56</v>
      </c>
      <c r="B160" s="3"/>
      <c r="C160" s="3"/>
      <c r="D160" s="10" t="s">
        <v>122</v>
      </c>
      <c r="E160" s="228">
        <v>20000</v>
      </c>
      <c r="F160" s="54">
        <v>20000</v>
      </c>
      <c r="G160" s="54">
        <v>10459.37</v>
      </c>
      <c r="H160" s="37">
        <f t="shared" si="3"/>
        <v>0.5229685000000001</v>
      </c>
      <c r="I160" s="117">
        <f t="shared" si="4"/>
        <v>0.0007803617289974869</v>
      </c>
      <c r="J160" s="62">
        <v>0</v>
      </c>
    </row>
    <row r="161" spans="1:10" ht="36">
      <c r="A161" s="136" t="s">
        <v>333</v>
      </c>
      <c r="B161" s="3"/>
      <c r="C161" s="3"/>
      <c r="D161" s="35" t="s">
        <v>100</v>
      </c>
      <c r="E161" s="228">
        <v>7000</v>
      </c>
      <c r="F161" s="54">
        <v>20241</v>
      </c>
      <c r="G161" s="54">
        <v>17918</v>
      </c>
      <c r="H161" s="37">
        <f t="shared" si="3"/>
        <v>0.8852329430364112</v>
      </c>
      <c r="I161" s="117">
        <f t="shared" si="4"/>
        <v>0.0013368416510915063</v>
      </c>
      <c r="J161" s="54">
        <v>0</v>
      </c>
    </row>
    <row r="162" spans="1:10" ht="25.5">
      <c r="A162" s="12" t="s">
        <v>269</v>
      </c>
      <c r="B162" s="3"/>
      <c r="C162" s="3"/>
      <c r="D162" s="10" t="s">
        <v>154</v>
      </c>
      <c r="E162" s="228">
        <v>0</v>
      </c>
      <c r="F162" s="54">
        <v>5871</v>
      </c>
      <c r="G162" s="54">
        <v>4894</v>
      </c>
      <c r="H162" s="37">
        <f t="shared" si="3"/>
        <v>0.8335888264350196</v>
      </c>
      <c r="I162" s="117">
        <f t="shared" si="4"/>
        <v>0.0003651357875009394</v>
      </c>
      <c r="J162" s="54"/>
    </row>
    <row r="163" spans="1:10" s="89" customFormat="1" ht="35.25" customHeight="1">
      <c r="A163" s="13" t="s">
        <v>294</v>
      </c>
      <c r="B163" s="3"/>
      <c r="C163" s="3"/>
      <c r="D163" s="10" t="s">
        <v>101</v>
      </c>
      <c r="E163" s="228">
        <v>50</v>
      </c>
      <c r="F163" s="54">
        <v>50</v>
      </c>
      <c r="G163" s="54">
        <v>30.49</v>
      </c>
      <c r="H163" s="37">
        <f t="shared" si="3"/>
        <v>0.6098</v>
      </c>
      <c r="I163" s="117">
        <f t="shared" si="4"/>
        <v>2.2748243074997223E-06</v>
      </c>
      <c r="J163" s="54">
        <v>0</v>
      </c>
    </row>
    <row r="164" spans="1:10" s="89" customFormat="1" ht="15" customHeight="1">
      <c r="A164" s="124" t="s">
        <v>428</v>
      </c>
      <c r="B164" s="108"/>
      <c r="C164" s="108" t="s">
        <v>429</v>
      </c>
      <c r="D164" s="108"/>
      <c r="E164" s="215">
        <f>SUM(E165:E165)</f>
        <v>43000</v>
      </c>
      <c r="F164" s="161">
        <f>SUM(F165:F165)</f>
        <v>43000</v>
      </c>
      <c r="G164" s="161">
        <f>SUM(G165:G165)</f>
        <v>24925</v>
      </c>
      <c r="H164" s="165">
        <f t="shared" si="3"/>
        <v>0.5796511627906977</v>
      </c>
      <c r="I164" s="162">
        <f t="shared" si="4"/>
        <v>0.001859625971283391</v>
      </c>
      <c r="J164" s="167">
        <v>0</v>
      </c>
    </row>
    <row r="165" spans="1:10" s="49" customFormat="1" ht="24">
      <c r="A165" s="246" t="s">
        <v>306</v>
      </c>
      <c r="B165" s="3"/>
      <c r="C165" s="3"/>
      <c r="D165" s="10" t="s">
        <v>154</v>
      </c>
      <c r="E165" s="228">
        <v>43000</v>
      </c>
      <c r="F165" s="54">
        <v>43000</v>
      </c>
      <c r="G165" s="54">
        <v>24925</v>
      </c>
      <c r="H165" s="117">
        <f t="shared" si="3"/>
        <v>0.5796511627906977</v>
      </c>
      <c r="I165" s="117">
        <f t="shared" si="4"/>
        <v>0.001859625971283391</v>
      </c>
      <c r="J165" s="60">
        <v>0</v>
      </c>
    </row>
    <row r="166" spans="1:10" s="103" customFormat="1" ht="18" customHeight="1">
      <c r="A166" s="68" t="s">
        <v>233</v>
      </c>
      <c r="B166" s="69" t="s">
        <v>234</v>
      </c>
      <c r="C166" s="69"/>
      <c r="D166" s="69"/>
      <c r="E166" s="229">
        <f>SUM(E167)</f>
        <v>52350</v>
      </c>
      <c r="F166" s="71">
        <f>SUM(F167)</f>
        <v>52626.369999999995</v>
      </c>
      <c r="G166" s="71">
        <f>SUM(G167)</f>
        <v>46632.219999999994</v>
      </c>
      <c r="H166" s="112">
        <f t="shared" si="3"/>
        <v>0.8860998773048568</v>
      </c>
      <c r="I166" s="112">
        <f t="shared" si="4"/>
        <v>0.00347917702750655</v>
      </c>
      <c r="J166" s="57">
        <v>0</v>
      </c>
    </row>
    <row r="167" spans="1:10" s="49" customFormat="1" ht="15" customHeight="1">
      <c r="A167" s="124" t="s">
        <v>15</v>
      </c>
      <c r="B167" s="108"/>
      <c r="C167" s="108" t="s">
        <v>235</v>
      </c>
      <c r="D167" s="108"/>
      <c r="E167" s="215">
        <f>SUM(E168:E170)</f>
        <v>52350</v>
      </c>
      <c r="F167" s="215">
        <f>SUM(F168:F170)</f>
        <v>52626.369999999995</v>
      </c>
      <c r="G167" s="215">
        <f>SUM(G168:G170)</f>
        <v>46632.219999999994</v>
      </c>
      <c r="H167" s="248">
        <f aca="true" t="shared" si="5" ref="H167:H211">G167/F167</f>
        <v>0.8860998773048568</v>
      </c>
      <c r="I167" s="162">
        <f t="shared" si="4"/>
        <v>0.00347917702750655</v>
      </c>
      <c r="J167" s="161">
        <v>0</v>
      </c>
    </row>
    <row r="168" spans="1:10" s="94" customFormat="1" ht="15" customHeight="1">
      <c r="A168" s="12" t="s">
        <v>56</v>
      </c>
      <c r="B168" s="10"/>
      <c r="C168" s="10"/>
      <c r="D168" s="10" t="s">
        <v>122</v>
      </c>
      <c r="E168" s="230">
        <v>10000</v>
      </c>
      <c r="F168" s="95">
        <v>10000</v>
      </c>
      <c r="G168" s="95">
        <v>4005.85</v>
      </c>
      <c r="H168" s="117">
        <f t="shared" si="5"/>
        <v>0.40058499999999997</v>
      </c>
      <c r="I168" s="117">
        <f t="shared" si="4"/>
        <v>0.0002988719236535836</v>
      </c>
      <c r="J168" s="60">
        <v>0</v>
      </c>
    </row>
    <row r="169" spans="1:10" ht="48">
      <c r="A169" s="136" t="s">
        <v>257</v>
      </c>
      <c r="B169" s="3"/>
      <c r="C169" s="10"/>
      <c r="D169" s="10" t="s">
        <v>430</v>
      </c>
      <c r="E169" s="228">
        <v>39997.52</v>
      </c>
      <c r="F169" s="56">
        <v>39997.52</v>
      </c>
      <c r="G169" s="56">
        <v>39997.52</v>
      </c>
      <c r="H169" s="117">
        <f t="shared" si="5"/>
        <v>1</v>
      </c>
      <c r="I169" s="117">
        <f t="shared" si="4"/>
        <v>0.002984169587920836</v>
      </c>
      <c r="J169" s="60">
        <v>0</v>
      </c>
    </row>
    <row r="170" spans="1:10" ht="48" customHeight="1">
      <c r="A170" s="136" t="s">
        <v>257</v>
      </c>
      <c r="B170" s="3"/>
      <c r="C170" s="10"/>
      <c r="D170" s="10" t="s">
        <v>431</v>
      </c>
      <c r="E170" s="228">
        <v>2352.48</v>
      </c>
      <c r="F170" s="56">
        <v>2628.85</v>
      </c>
      <c r="G170" s="56">
        <v>2628.85</v>
      </c>
      <c r="H170" s="117">
        <f t="shared" si="5"/>
        <v>1</v>
      </c>
      <c r="I170" s="117">
        <f t="shared" si="4"/>
        <v>0.00019613551593213006</v>
      </c>
      <c r="J170" s="60">
        <v>0</v>
      </c>
    </row>
    <row r="171" spans="1:10" s="89" customFormat="1" ht="18" customHeight="1">
      <c r="A171" s="8" t="s">
        <v>54</v>
      </c>
      <c r="B171" s="34" t="s">
        <v>190</v>
      </c>
      <c r="C171" s="3"/>
      <c r="D171" s="10"/>
      <c r="E171" s="220">
        <f>SUM(E172)</f>
        <v>0</v>
      </c>
      <c r="F171" s="57">
        <f>SUM(F172)</f>
        <v>40380</v>
      </c>
      <c r="G171" s="57">
        <f>SUM(G172)</f>
        <v>40380</v>
      </c>
      <c r="H171" s="112">
        <f t="shared" si="5"/>
        <v>1</v>
      </c>
      <c r="I171" s="112">
        <f t="shared" si="4"/>
        <v>0.0030127059867772646</v>
      </c>
      <c r="J171" s="64">
        <v>0</v>
      </c>
    </row>
    <row r="172" spans="1:10" ht="15" customHeight="1">
      <c r="A172" s="124" t="s">
        <v>157</v>
      </c>
      <c r="B172" s="108"/>
      <c r="C172" s="108" t="s">
        <v>158</v>
      </c>
      <c r="D172" s="108"/>
      <c r="E172" s="215">
        <f>SUM(E173)</f>
        <v>0</v>
      </c>
      <c r="F172" s="161">
        <f>F173</f>
        <v>40380</v>
      </c>
      <c r="G172" s="161">
        <f>G173</f>
        <v>40380</v>
      </c>
      <c r="H172" s="162">
        <f t="shared" si="5"/>
        <v>1</v>
      </c>
      <c r="I172" s="162">
        <f t="shared" si="4"/>
        <v>0.0030127059867772646</v>
      </c>
      <c r="J172" s="167">
        <v>0</v>
      </c>
    </row>
    <row r="173" spans="1:10" ht="26.25" customHeight="1">
      <c r="A173" s="12" t="s">
        <v>269</v>
      </c>
      <c r="B173" s="34"/>
      <c r="C173" s="10"/>
      <c r="D173" s="10" t="s">
        <v>154</v>
      </c>
      <c r="E173" s="228">
        <v>0</v>
      </c>
      <c r="F173" s="54">
        <v>40380</v>
      </c>
      <c r="G173" s="54">
        <v>40380</v>
      </c>
      <c r="H173" s="117">
        <f t="shared" si="5"/>
        <v>1</v>
      </c>
      <c r="I173" s="117">
        <f t="shared" si="4"/>
        <v>0.0030127059867772646</v>
      </c>
      <c r="J173" s="54">
        <v>0</v>
      </c>
    </row>
    <row r="174" spans="1:10" s="49" customFormat="1" ht="18" customHeight="1">
      <c r="A174" s="218" t="s">
        <v>432</v>
      </c>
      <c r="B174" s="34" t="s">
        <v>433</v>
      </c>
      <c r="C174" s="34"/>
      <c r="D174" s="34"/>
      <c r="E174" s="220">
        <f>E175+E179+E185+E190+E188</f>
        <v>5918800</v>
      </c>
      <c r="F174" s="220">
        <f>F175+F179+F185+F190+F188</f>
        <v>6069973.46</v>
      </c>
      <c r="G174" s="220">
        <f>G175+G179+G185+G190+G188</f>
        <v>3143292.35</v>
      </c>
      <c r="H174" s="112">
        <f t="shared" si="5"/>
        <v>0.5178428490196397</v>
      </c>
      <c r="I174" s="112">
        <f t="shared" si="4"/>
        <v>0.2345174760038677</v>
      </c>
      <c r="J174" s="57">
        <f>J175+J179+J185</f>
        <v>1036218.4</v>
      </c>
    </row>
    <row r="175" spans="1:10" s="89" customFormat="1" ht="15" customHeight="1">
      <c r="A175" s="124" t="s">
        <v>421</v>
      </c>
      <c r="B175" s="108"/>
      <c r="C175" s="108" t="s">
        <v>434</v>
      </c>
      <c r="D175" s="108"/>
      <c r="E175" s="215">
        <f>E178+E177+E176</f>
        <v>2882200</v>
      </c>
      <c r="F175" s="215">
        <f>F178+F177+F176</f>
        <v>2882200</v>
      </c>
      <c r="G175" s="215">
        <f>G178+G177+G176</f>
        <v>1585150</v>
      </c>
      <c r="H175" s="162">
        <f t="shared" si="5"/>
        <v>0.549979182568871</v>
      </c>
      <c r="I175" s="162">
        <f t="shared" si="4"/>
        <v>0.11826624306438785</v>
      </c>
      <c r="J175" s="161">
        <v>0</v>
      </c>
    </row>
    <row r="176" spans="1:10" s="94" customFormat="1" ht="12.75" customHeight="1">
      <c r="A176" s="12" t="s">
        <v>409</v>
      </c>
      <c r="B176" s="10"/>
      <c r="C176" s="10"/>
      <c r="D176" s="10" t="s">
        <v>99</v>
      </c>
      <c r="E176" s="230">
        <v>200</v>
      </c>
      <c r="F176" s="190">
        <v>200</v>
      </c>
      <c r="G176" s="190">
        <v>0</v>
      </c>
      <c r="H176" s="117">
        <f t="shared" si="5"/>
        <v>0</v>
      </c>
      <c r="I176" s="117">
        <f t="shared" si="4"/>
        <v>0</v>
      </c>
      <c r="J176" s="60">
        <v>0</v>
      </c>
    </row>
    <row r="177" spans="1:10" s="94" customFormat="1" ht="12.75" customHeight="1">
      <c r="A177" s="12" t="s">
        <v>439</v>
      </c>
      <c r="B177" s="10"/>
      <c r="C177" s="10"/>
      <c r="D177" s="10" t="s">
        <v>440</v>
      </c>
      <c r="E177" s="230">
        <v>2000</v>
      </c>
      <c r="F177" s="190">
        <v>2000</v>
      </c>
      <c r="G177" s="190">
        <v>0</v>
      </c>
      <c r="H177" s="117">
        <f t="shared" si="5"/>
        <v>0</v>
      </c>
      <c r="I177" s="117">
        <f t="shared" si="4"/>
        <v>0</v>
      </c>
      <c r="J177" s="60">
        <v>0</v>
      </c>
    </row>
    <row r="178" spans="1:10" ht="48" customHeight="1">
      <c r="A178" s="136" t="s">
        <v>423</v>
      </c>
      <c r="B178" s="3"/>
      <c r="C178" s="10"/>
      <c r="D178" s="10" t="s">
        <v>416</v>
      </c>
      <c r="E178" s="228">
        <v>2880000</v>
      </c>
      <c r="F178" s="56">
        <v>2880000</v>
      </c>
      <c r="G178" s="56">
        <v>1585150</v>
      </c>
      <c r="H178" s="117">
        <f t="shared" si="5"/>
        <v>0.5503993055555556</v>
      </c>
      <c r="I178" s="117">
        <f t="shared" si="4"/>
        <v>0.11826624306438785</v>
      </c>
      <c r="J178" s="60">
        <v>0</v>
      </c>
    </row>
    <row r="179" spans="1:10" s="89" customFormat="1" ht="39" customHeight="1">
      <c r="A179" s="168" t="s">
        <v>435</v>
      </c>
      <c r="B179" s="108"/>
      <c r="C179" s="108" t="s">
        <v>436</v>
      </c>
      <c r="D179" s="108"/>
      <c r="E179" s="215">
        <f>E180+E182+E183+E184+E181</f>
        <v>3036600</v>
      </c>
      <c r="F179" s="215">
        <f>F180+F182+F183+F184+F181</f>
        <v>3036600</v>
      </c>
      <c r="G179" s="215">
        <f>G180+G182+G183+G184+G181</f>
        <v>1407111.91</v>
      </c>
      <c r="H179" s="162">
        <f t="shared" si="5"/>
        <v>0.4633840183099519</v>
      </c>
      <c r="I179" s="162">
        <f t="shared" si="4"/>
        <v>0.10498302316301614</v>
      </c>
      <c r="J179" s="249">
        <f>J180+J182+J183+J184+J181</f>
        <v>1036218.4</v>
      </c>
    </row>
    <row r="180" spans="1:10" ht="12.75" customHeight="1">
      <c r="A180" s="6" t="s">
        <v>409</v>
      </c>
      <c r="B180" s="3"/>
      <c r="C180" s="10"/>
      <c r="D180" s="10" t="s">
        <v>99</v>
      </c>
      <c r="E180" s="228">
        <v>200</v>
      </c>
      <c r="F180" s="56">
        <v>200</v>
      </c>
      <c r="G180" s="56">
        <v>10.95</v>
      </c>
      <c r="H180" s="117">
        <f t="shared" si="5"/>
        <v>0.05474999999999999</v>
      </c>
      <c r="I180" s="117">
        <f t="shared" si="4"/>
        <v>8.169670766520814E-07</v>
      </c>
      <c r="J180" s="60">
        <v>0</v>
      </c>
    </row>
    <row r="181" spans="1:10" ht="12.75" customHeight="1">
      <c r="A181" s="12" t="s">
        <v>439</v>
      </c>
      <c r="B181" s="3"/>
      <c r="C181" s="10"/>
      <c r="D181" s="10" t="s">
        <v>440</v>
      </c>
      <c r="E181" s="228">
        <v>2000</v>
      </c>
      <c r="F181" s="56">
        <v>2000</v>
      </c>
      <c r="G181" s="56">
        <v>612</v>
      </c>
      <c r="H181" s="117">
        <f t="shared" si="5"/>
        <v>0.306</v>
      </c>
      <c r="I181" s="117">
        <f t="shared" si="4"/>
        <v>4.566062565397935E-05</v>
      </c>
      <c r="J181" s="60">
        <v>0</v>
      </c>
    </row>
    <row r="182" spans="1:10" ht="12.75" customHeight="1" hidden="1">
      <c r="A182" s="6" t="s">
        <v>8</v>
      </c>
      <c r="B182" s="3"/>
      <c r="C182" s="10"/>
      <c r="D182" s="10" t="s">
        <v>189</v>
      </c>
      <c r="E182" s="228">
        <v>0</v>
      </c>
      <c r="F182" s="56">
        <v>0</v>
      </c>
      <c r="G182" s="56">
        <v>0</v>
      </c>
      <c r="H182" s="117" t="e">
        <f t="shared" si="5"/>
        <v>#DIV/0!</v>
      </c>
      <c r="I182" s="117">
        <f t="shared" si="4"/>
        <v>0</v>
      </c>
      <c r="J182" s="60">
        <v>0</v>
      </c>
    </row>
    <row r="183" spans="1:10" ht="39.75" customHeight="1">
      <c r="A183" s="136" t="s">
        <v>333</v>
      </c>
      <c r="B183" s="3"/>
      <c r="C183" s="10"/>
      <c r="D183" s="10" t="s">
        <v>100</v>
      </c>
      <c r="E183" s="228">
        <v>3024400</v>
      </c>
      <c r="F183" s="56">
        <v>3024400</v>
      </c>
      <c r="G183" s="56">
        <v>1401600</v>
      </c>
      <c r="H183" s="117">
        <f t="shared" si="5"/>
        <v>0.46343076312657056</v>
      </c>
      <c r="I183" s="117">
        <f t="shared" si="4"/>
        <v>0.10457178581146642</v>
      </c>
      <c r="J183" s="60">
        <v>0</v>
      </c>
    </row>
    <row r="184" spans="1:10" ht="37.5" customHeight="1">
      <c r="A184" s="13" t="s">
        <v>294</v>
      </c>
      <c r="B184" s="2"/>
      <c r="C184" s="7"/>
      <c r="D184" s="7" t="s">
        <v>101</v>
      </c>
      <c r="E184" s="228">
        <v>10000</v>
      </c>
      <c r="F184" s="56">
        <v>10000</v>
      </c>
      <c r="G184" s="56">
        <v>4888.96</v>
      </c>
      <c r="H184" s="117">
        <f t="shared" si="5"/>
        <v>0.488896</v>
      </c>
      <c r="I184" s="117">
        <f t="shared" si="4"/>
        <v>0.0003647597588190831</v>
      </c>
      <c r="J184" s="60">
        <v>1036218.4</v>
      </c>
    </row>
    <row r="185" spans="1:10" s="89" customFormat="1" ht="15" customHeight="1">
      <c r="A185" s="221" t="s">
        <v>444</v>
      </c>
      <c r="B185" s="106"/>
      <c r="C185" s="106" t="s">
        <v>445</v>
      </c>
      <c r="D185" s="106"/>
      <c r="E185" s="215">
        <f>E186</f>
        <v>0</v>
      </c>
      <c r="F185" s="215">
        <f>F186</f>
        <v>151.46</v>
      </c>
      <c r="G185" s="215">
        <f>G186+G187</f>
        <v>8.690000000000001</v>
      </c>
      <c r="H185" s="162">
        <f t="shared" si="5"/>
        <v>0.0573748844579427</v>
      </c>
      <c r="I185" s="162">
        <f t="shared" si="4"/>
        <v>6.483510407403277E-07</v>
      </c>
      <c r="J185" s="161">
        <v>0</v>
      </c>
    </row>
    <row r="186" spans="1:10" ht="37.5" customHeight="1">
      <c r="A186" s="136" t="s">
        <v>333</v>
      </c>
      <c r="B186" s="2"/>
      <c r="C186" s="7"/>
      <c r="D186" s="7" t="s">
        <v>100</v>
      </c>
      <c r="E186" s="228">
        <v>0</v>
      </c>
      <c r="F186" s="56">
        <v>151.46</v>
      </c>
      <c r="G186" s="56">
        <v>8.22</v>
      </c>
      <c r="H186" s="117">
        <f t="shared" si="5"/>
        <v>0.05427175491879044</v>
      </c>
      <c r="I186" s="117">
        <f t="shared" si="4"/>
        <v>6.132848739799187E-07</v>
      </c>
      <c r="J186" s="60">
        <v>0</v>
      </c>
    </row>
    <row r="187" spans="1:10" ht="37.5" customHeight="1" hidden="1">
      <c r="A187" s="13" t="s">
        <v>294</v>
      </c>
      <c r="B187" s="2"/>
      <c r="C187" s="7"/>
      <c r="D187" s="7" t="s">
        <v>101</v>
      </c>
      <c r="E187" s="228">
        <v>0</v>
      </c>
      <c r="F187" s="56">
        <v>0</v>
      </c>
      <c r="G187" s="56">
        <v>0.47</v>
      </c>
      <c r="H187" s="117" t="e">
        <f t="shared" si="5"/>
        <v>#DIV/0!</v>
      </c>
      <c r="I187" s="117">
        <f t="shared" si="4"/>
        <v>3.506616676040897E-08</v>
      </c>
      <c r="J187" s="60"/>
    </row>
    <row r="188" spans="1:10" s="89" customFormat="1" ht="15" customHeight="1">
      <c r="A188" s="124" t="s">
        <v>365</v>
      </c>
      <c r="B188" s="106"/>
      <c r="C188" s="106" t="s">
        <v>475</v>
      </c>
      <c r="D188" s="106"/>
      <c r="E188" s="215">
        <f>E189</f>
        <v>0</v>
      </c>
      <c r="F188" s="215">
        <f>F189</f>
        <v>6820</v>
      </c>
      <c r="G188" s="215">
        <f>G189</f>
        <v>6820</v>
      </c>
      <c r="H188" s="162">
        <f t="shared" si="5"/>
        <v>1</v>
      </c>
      <c r="I188" s="162">
        <f t="shared" si="4"/>
        <v>0.0005088324623531685</v>
      </c>
      <c r="J188" s="161">
        <v>0</v>
      </c>
    </row>
    <row r="189" spans="1:10" ht="37.5" customHeight="1">
      <c r="A189" s="136" t="s">
        <v>333</v>
      </c>
      <c r="B189" s="2"/>
      <c r="C189" s="7"/>
      <c r="D189" s="7" t="s">
        <v>100</v>
      </c>
      <c r="E189" s="228">
        <v>0</v>
      </c>
      <c r="F189" s="56">
        <v>6820</v>
      </c>
      <c r="G189" s="56">
        <v>6820</v>
      </c>
      <c r="H189" s="117">
        <f t="shared" si="5"/>
        <v>1</v>
      </c>
      <c r="I189" s="117">
        <f t="shared" si="4"/>
        <v>0.0005088324623531685</v>
      </c>
      <c r="J189" s="60">
        <v>0</v>
      </c>
    </row>
    <row r="190" spans="1:10" s="89" customFormat="1" ht="15" customHeight="1">
      <c r="A190" s="124" t="s">
        <v>477</v>
      </c>
      <c r="B190" s="106"/>
      <c r="C190" s="106" t="s">
        <v>478</v>
      </c>
      <c r="D190" s="106"/>
      <c r="E190" s="215">
        <f>E191+E192</f>
        <v>0</v>
      </c>
      <c r="F190" s="215">
        <f>F191+F192</f>
        <v>144202</v>
      </c>
      <c r="G190" s="215">
        <f>G191+G192</f>
        <v>144201.75</v>
      </c>
      <c r="H190" s="162">
        <f t="shared" si="5"/>
        <v>0.9999982663208554</v>
      </c>
      <c r="I190" s="162">
        <f t="shared" si="4"/>
        <v>0.010758728963069798</v>
      </c>
      <c r="J190" s="161">
        <v>0</v>
      </c>
    </row>
    <row r="191" spans="1:10" ht="53.25" customHeight="1">
      <c r="A191" s="235" t="s">
        <v>506</v>
      </c>
      <c r="B191" s="3"/>
      <c r="C191" s="10"/>
      <c r="D191" s="10" t="s">
        <v>430</v>
      </c>
      <c r="E191" s="228">
        <v>0</v>
      </c>
      <c r="F191" s="56">
        <v>133230</v>
      </c>
      <c r="G191" s="56">
        <v>133230.19</v>
      </c>
      <c r="H191" s="117">
        <f t="shared" si="5"/>
        <v>1.0000014261052315</v>
      </c>
      <c r="I191" s="117">
        <f t="shared" si="4"/>
        <v>0.009940153319278664</v>
      </c>
      <c r="J191" s="60">
        <v>0</v>
      </c>
    </row>
    <row r="192" spans="1:10" ht="58.5" customHeight="1">
      <c r="A192" s="235" t="s">
        <v>506</v>
      </c>
      <c r="B192" s="3"/>
      <c r="C192" s="10"/>
      <c r="D192" s="10" t="s">
        <v>431</v>
      </c>
      <c r="E192" s="228">
        <v>0</v>
      </c>
      <c r="F192" s="56">
        <v>10972</v>
      </c>
      <c r="G192" s="56">
        <v>10971.56</v>
      </c>
      <c r="H192" s="117">
        <f t="shared" si="5"/>
        <v>0.9999598979219831</v>
      </c>
      <c r="I192" s="117">
        <f t="shared" si="4"/>
        <v>0.0008185756437911333</v>
      </c>
      <c r="J192" s="60">
        <v>0</v>
      </c>
    </row>
    <row r="193" spans="1:10" s="89" customFormat="1" ht="18" customHeight="1">
      <c r="A193" s="5" t="s">
        <v>58</v>
      </c>
      <c r="B193" s="2">
        <v>900</v>
      </c>
      <c r="C193" s="2"/>
      <c r="D193" s="2"/>
      <c r="E193" s="217">
        <f>SUM(E194,E198,E205,E207,E211,E214,E202,E209)</f>
        <v>5642965</v>
      </c>
      <c r="F193" s="217">
        <f>SUM(F194,F198,F205,F207,F211,F214,F202,F209)</f>
        <v>4799041.32</v>
      </c>
      <c r="G193" s="217">
        <f>SUM(G194,G198,G205,G207,G211,G214,G202,G209)</f>
        <v>1281492.5300000003</v>
      </c>
      <c r="H193" s="112">
        <f t="shared" si="5"/>
        <v>0.2670309431717917</v>
      </c>
      <c r="I193" s="112">
        <f t="shared" si="4"/>
        <v>0.09561070374297534</v>
      </c>
      <c r="J193" s="55">
        <f>SUM(J194,J198,J202,J205,J207,J209,J211,J214)</f>
        <v>13688.94</v>
      </c>
    </row>
    <row r="194" spans="1:10" s="89" customFormat="1" ht="15" customHeight="1">
      <c r="A194" s="168" t="s">
        <v>84</v>
      </c>
      <c r="B194" s="106"/>
      <c r="C194" s="106" t="s">
        <v>85</v>
      </c>
      <c r="D194" s="106"/>
      <c r="E194" s="233">
        <f>SUM(E195:E197)</f>
        <v>5062915</v>
      </c>
      <c r="F194" s="171">
        <f>SUM(F195:F197)</f>
        <v>4169495</v>
      </c>
      <c r="G194" s="171">
        <f>SUM(G195:G197)</f>
        <v>948174.1900000001</v>
      </c>
      <c r="H194" s="162">
        <f t="shared" si="5"/>
        <v>0.22740744142875818</v>
      </c>
      <c r="I194" s="162">
        <f t="shared" si="4"/>
        <v>0.07074220056267172</v>
      </c>
      <c r="J194" s="172">
        <v>0</v>
      </c>
    </row>
    <row r="195" spans="1:10" s="103" customFormat="1" ht="36">
      <c r="A195" s="136" t="s">
        <v>334</v>
      </c>
      <c r="B195" s="106"/>
      <c r="C195" s="106"/>
      <c r="D195" s="10" t="s">
        <v>98</v>
      </c>
      <c r="E195" s="230">
        <v>14633</v>
      </c>
      <c r="F195" s="95">
        <v>14633</v>
      </c>
      <c r="G195" s="95">
        <v>5948.58</v>
      </c>
      <c r="H195" s="117">
        <f t="shared" si="5"/>
        <v>0.40651814392127383</v>
      </c>
      <c r="I195" s="117">
        <f t="shared" si="4"/>
        <v>0.0004438168048247524</v>
      </c>
      <c r="J195" s="60">
        <v>0</v>
      </c>
    </row>
    <row r="196" spans="1:10" s="26" customFormat="1" ht="12.75" customHeight="1">
      <c r="A196" s="12" t="s">
        <v>439</v>
      </c>
      <c r="B196" s="107"/>
      <c r="C196" s="107"/>
      <c r="D196" s="10" t="s">
        <v>440</v>
      </c>
      <c r="E196" s="230">
        <v>0</v>
      </c>
      <c r="F196" s="95">
        <v>9583</v>
      </c>
      <c r="G196" s="95">
        <v>9583.33</v>
      </c>
      <c r="H196" s="117">
        <f t="shared" si="5"/>
        <v>1.0000344359803819</v>
      </c>
      <c r="I196" s="117">
        <f t="shared" si="4"/>
        <v>0.0007150013785107024</v>
      </c>
      <c r="J196" s="137">
        <v>0</v>
      </c>
    </row>
    <row r="197" spans="1:10" s="89" customFormat="1" ht="49.5" customHeight="1">
      <c r="A197" s="236" t="s">
        <v>498</v>
      </c>
      <c r="B197" s="7"/>
      <c r="C197" s="7"/>
      <c r="D197" s="7" t="s">
        <v>499</v>
      </c>
      <c r="E197" s="234">
        <v>5048282</v>
      </c>
      <c r="F197" s="70">
        <v>4145279</v>
      </c>
      <c r="G197" s="70">
        <v>932642.28</v>
      </c>
      <c r="H197" s="117">
        <f t="shared" si="5"/>
        <v>0.22498902486418887</v>
      </c>
      <c r="I197" s="117">
        <f aca="true" t="shared" si="6" ref="I197:I239">G197/13403232.9</f>
        <v>0.06958338237933626</v>
      </c>
      <c r="J197" s="58">
        <v>0</v>
      </c>
    </row>
    <row r="198" spans="1:10" s="26" customFormat="1" ht="15" customHeight="1">
      <c r="A198" s="131" t="s">
        <v>342</v>
      </c>
      <c r="B198" s="106"/>
      <c r="C198" s="106" t="s">
        <v>343</v>
      </c>
      <c r="D198" s="106"/>
      <c r="E198" s="233">
        <f>E199+E200+E203</f>
        <v>565050</v>
      </c>
      <c r="F198" s="171">
        <f>SUM(F199:F201)</f>
        <v>567372.32</v>
      </c>
      <c r="G198" s="171">
        <f>SUM(G199:G201)</f>
        <v>308922.71</v>
      </c>
      <c r="H198" s="162">
        <f t="shared" si="5"/>
        <v>0.5444796989743879</v>
      </c>
      <c r="I198" s="112">
        <f t="shared" si="6"/>
        <v>0.02304837290412226</v>
      </c>
      <c r="J198" s="170">
        <f>J199</f>
        <v>13238.94</v>
      </c>
    </row>
    <row r="199" spans="1:10" s="26" customFormat="1" ht="27" customHeight="1">
      <c r="A199" s="12" t="s">
        <v>335</v>
      </c>
      <c r="B199" s="7"/>
      <c r="C199" s="7"/>
      <c r="D199" s="7" t="s">
        <v>114</v>
      </c>
      <c r="E199" s="234">
        <v>565000</v>
      </c>
      <c r="F199" s="70">
        <v>565000</v>
      </c>
      <c r="G199" s="70">
        <v>308846.64</v>
      </c>
      <c r="H199" s="117">
        <f t="shared" si="5"/>
        <v>0.546631221238938</v>
      </c>
      <c r="I199" s="117">
        <f t="shared" si="6"/>
        <v>0.023042697407727655</v>
      </c>
      <c r="J199" s="58">
        <v>13238.94</v>
      </c>
    </row>
    <row r="200" spans="1:10" s="26" customFormat="1" ht="25.5" customHeight="1">
      <c r="A200" s="12" t="s">
        <v>447</v>
      </c>
      <c r="B200" s="7"/>
      <c r="C200" s="7"/>
      <c r="D200" s="7" t="s">
        <v>103</v>
      </c>
      <c r="E200" s="234">
        <v>50</v>
      </c>
      <c r="F200" s="70">
        <v>50</v>
      </c>
      <c r="G200" s="70">
        <v>76.07</v>
      </c>
      <c r="H200" s="117">
        <f t="shared" si="5"/>
        <v>1.5213999999999999</v>
      </c>
      <c r="I200" s="117">
        <f t="shared" si="6"/>
        <v>5.675496394604916E-06</v>
      </c>
      <c r="J200" s="58">
        <v>0</v>
      </c>
    </row>
    <row r="201" spans="1:10" s="103" customFormat="1" ht="39.75" customHeight="1">
      <c r="A201" s="199" t="s">
        <v>455</v>
      </c>
      <c r="B201" s="7"/>
      <c r="C201" s="7"/>
      <c r="D201" s="7" t="s">
        <v>266</v>
      </c>
      <c r="E201" s="234">
        <v>0</v>
      </c>
      <c r="F201" s="70">
        <v>2322.32</v>
      </c>
      <c r="G201" s="70">
        <v>0</v>
      </c>
      <c r="H201" s="117">
        <f t="shared" si="5"/>
        <v>0</v>
      </c>
      <c r="I201" s="117">
        <f t="shared" si="6"/>
        <v>0</v>
      </c>
      <c r="J201" s="58">
        <v>0</v>
      </c>
    </row>
    <row r="202" spans="1:10" s="49" customFormat="1" ht="15" customHeight="1">
      <c r="A202" s="168" t="s">
        <v>59</v>
      </c>
      <c r="B202" s="106"/>
      <c r="C202" s="108" t="s">
        <v>366</v>
      </c>
      <c r="D202" s="108"/>
      <c r="E202" s="215">
        <v>0</v>
      </c>
      <c r="F202" s="166">
        <f>SUM(F203:F204)</f>
        <v>0</v>
      </c>
      <c r="G202" s="166">
        <f>SUM(G203:G204)</f>
        <v>0</v>
      </c>
      <c r="H202" s="117"/>
      <c r="I202" s="162">
        <f t="shared" si="6"/>
        <v>0</v>
      </c>
      <c r="J202" s="167">
        <f>J203</f>
        <v>450</v>
      </c>
    </row>
    <row r="203" spans="1:10" s="89" customFormat="1" ht="26.25" customHeight="1">
      <c r="A203" s="12" t="s">
        <v>264</v>
      </c>
      <c r="B203" s="7"/>
      <c r="C203" s="7"/>
      <c r="D203" s="7" t="s">
        <v>265</v>
      </c>
      <c r="E203" s="234">
        <v>0</v>
      </c>
      <c r="F203" s="70">
        <v>0</v>
      </c>
      <c r="G203" s="70">
        <v>0</v>
      </c>
      <c r="H203" s="117"/>
      <c r="I203" s="117">
        <f t="shared" si="6"/>
        <v>0</v>
      </c>
      <c r="J203" s="58">
        <v>450</v>
      </c>
    </row>
    <row r="204" spans="1:10" s="89" customFormat="1" ht="42.75" customHeight="1" hidden="1">
      <c r="A204" s="199" t="s">
        <v>455</v>
      </c>
      <c r="B204" s="7"/>
      <c r="C204" s="7"/>
      <c r="D204" s="7" t="s">
        <v>266</v>
      </c>
      <c r="E204" s="234"/>
      <c r="F204" s="70">
        <v>0</v>
      </c>
      <c r="G204" s="70">
        <v>0</v>
      </c>
      <c r="H204" s="117" t="e">
        <f t="shared" si="5"/>
        <v>#DIV/0!</v>
      </c>
      <c r="I204" s="117">
        <f t="shared" si="6"/>
        <v>0</v>
      </c>
      <c r="J204" s="58">
        <v>0</v>
      </c>
    </row>
    <row r="205" spans="1:10" ht="15" customHeight="1">
      <c r="A205" s="173" t="s">
        <v>231</v>
      </c>
      <c r="B205" s="108"/>
      <c r="C205" s="108" t="s">
        <v>220</v>
      </c>
      <c r="D205" s="108"/>
      <c r="E205" s="215">
        <v>0</v>
      </c>
      <c r="F205" s="161">
        <f>SUM(F206:F206)</f>
        <v>16629</v>
      </c>
      <c r="G205" s="161">
        <f>SUM(G206:G206)</f>
        <v>0</v>
      </c>
      <c r="H205" s="162">
        <f t="shared" si="5"/>
        <v>0</v>
      </c>
      <c r="I205" s="162">
        <f t="shared" si="6"/>
        <v>0</v>
      </c>
      <c r="J205" s="167">
        <v>0</v>
      </c>
    </row>
    <row r="206" spans="1:10" s="89" customFormat="1" ht="40.5" customHeight="1">
      <c r="A206" s="199" t="s">
        <v>455</v>
      </c>
      <c r="B206" s="35"/>
      <c r="C206" s="35"/>
      <c r="D206" s="35" t="s">
        <v>266</v>
      </c>
      <c r="E206" s="232">
        <v>0</v>
      </c>
      <c r="F206" s="59">
        <v>16629</v>
      </c>
      <c r="G206" s="59">
        <v>0</v>
      </c>
      <c r="H206" s="117">
        <f t="shared" si="5"/>
        <v>0</v>
      </c>
      <c r="I206" s="117">
        <f t="shared" si="6"/>
        <v>0</v>
      </c>
      <c r="J206" s="59">
        <v>0</v>
      </c>
    </row>
    <row r="207" spans="1:10" s="103" customFormat="1" ht="15" customHeight="1">
      <c r="A207" s="141" t="s">
        <v>376</v>
      </c>
      <c r="B207" s="108"/>
      <c r="C207" s="108" t="s">
        <v>370</v>
      </c>
      <c r="D207" s="108"/>
      <c r="E207" s="215">
        <f>SUM(E208)</f>
        <v>0</v>
      </c>
      <c r="F207" s="161">
        <f>F208</f>
        <v>20000</v>
      </c>
      <c r="G207" s="161">
        <f>G208</f>
        <v>0</v>
      </c>
      <c r="H207" s="162">
        <f t="shared" si="5"/>
        <v>0</v>
      </c>
      <c r="I207" s="162">
        <f t="shared" si="6"/>
        <v>0</v>
      </c>
      <c r="J207" s="167">
        <v>0</v>
      </c>
    </row>
    <row r="208" spans="1:10" s="89" customFormat="1" ht="48" customHeight="1">
      <c r="A208" s="237" t="s">
        <v>507</v>
      </c>
      <c r="B208" s="35"/>
      <c r="C208" s="35"/>
      <c r="D208" s="10" t="s">
        <v>508</v>
      </c>
      <c r="E208" s="232">
        <v>0</v>
      </c>
      <c r="F208" s="59">
        <v>20000</v>
      </c>
      <c r="G208" s="59">
        <v>0</v>
      </c>
      <c r="H208" s="117">
        <f t="shared" si="5"/>
        <v>0</v>
      </c>
      <c r="I208" s="117">
        <f t="shared" si="6"/>
        <v>0</v>
      </c>
      <c r="J208" s="59">
        <v>0</v>
      </c>
    </row>
    <row r="209" spans="1:10" s="89" customFormat="1" ht="15" customHeight="1">
      <c r="A209" s="238" t="s">
        <v>60</v>
      </c>
      <c r="B209" s="108"/>
      <c r="C209" s="108" t="s">
        <v>509</v>
      </c>
      <c r="D209" s="108"/>
      <c r="E209" s="215">
        <f>E210</f>
        <v>0</v>
      </c>
      <c r="F209" s="215">
        <f>F210</f>
        <v>181</v>
      </c>
      <c r="G209" s="215">
        <f>G210</f>
        <v>181.87</v>
      </c>
      <c r="H209" s="162">
        <f t="shared" si="5"/>
        <v>1.0048066298342542</v>
      </c>
      <c r="I209" s="162">
        <f t="shared" si="6"/>
        <v>1.356911435896932E-05</v>
      </c>
      <c r="J209" s="161">
        <v>0</v>
      </c>
    </row>
    <row r="210" spans="1:10" s="89" customFormat="1" ht="12.75" customHeight="1">
      <c r="A210" s="12" t="s">
        <v>439</v>
      </c>
      <c r="B210" s="35"/>
      <c r="C210" s="35"/>
      <c r="D210" s="10" t="s">
        <v>440</v>
      </c>
      <c r="E210" s="232">
        <v>0</v>
      </c>
      <c r="F210" s="59">
        <v>181</v>
      </c>
      <c r="G210" s="59">
        <v>181.87</v>
      </c>
      <c r="H210" s="117">
        <f t="shared" si="5"/>
        <v>1.0048066298342542</v>
      </c>
      <c r="I210" s="117">
        <f t="shared" si="6"/>
        <v>1.356911435896932E-05</v>
      </c>
      <c r="J210" s="59">
        <v>0</v>
      </c>
    </row>
    <row r="211" spans="1:10" ht="25.5">
      <c r="A211" s="173" t="s">
        <v>267</v>
      </c>
      <c r="B211" s="108"/>
      <c r="C211" s="108" t="s">
        <v>268</v>
      </c>
      <c r="D211" s="108"/>
      <c r="E211" s="215">
        <f>SUM(E212:E213)</f>
        <v>15000</v>
      </c>
      <c r="F211" s="161">
        <f>SUM(F212:F213)</f>
        <v>17000</v>
      </c>
      <c r="G211" s="161">
        <f>SUM(G212:G213)</f>
        <v>15849.74</v>
      </c>
      <c r="H211" s="162">
        <f t="shared" si="5"/>
        <v>0.9323376470588235</v>
      </c>
      <c r="I211" s="162">
        <f t="shared" si="6"/>
        <v>0.0011825311190406904</v>
      </c>
      <c r="J211" s="161">
        <v>0</v>
      </c>
    </row>
    <row r="212" spans="1:10" s="94" customFormat="1" ht="25.5" hidden="1">
      <c r="A212" s="12" t="s">
        <v>425</v>
      </c>
      <c r="B212" s="10"/>
      <c r="C212" s="10"/>
      <c r="D212" s="10" t="s">
        <v>417</v>
      </c>
      <c r="E212" s="230">
        <v>0</v>
      </c>
      <c r="F212" s="60">
        <v>0</v>
      </c>
      <c r="G212" s="60">
        <v>0</v>
      </c>
      <c r="H212" s="117" t="e">
        <f aca="true" t="shared" si="7" ref="H212:H239">G212/F212</f>
        <v>#DIV/0!</v>
      </c>
      <c r="I212" s="117">
        <f t="shared" si="6"/>
        <v>0</v>
      </c>
      <c r="J212" s="60">
        <v>0</v>
      </c>
    </row>
    <row r="213" spans="1:10" s="89" customFormat="1" ht="12.75">
      <c r="A213" s="67" t="s">
        <v>152</v>
      </c>
      <c r="B213" s="35"/>
      <c r="C213" s="35"/>
      <c r="D213" s="35" t="s">
        <v>131</v>
      </c>
      <c r="E213" s="232">
        <v>15000</v>
      </c>
      <c r="F213" s="59">
        <v>17000</v>
      </c>
      <c r="G213" s="59">
        <v>15849.74</v>
      </c>
      <c r="H213" s="37">
        <f t="shared" si="7"/>
        <v>0.9323376470588235</v>
      </c>
      <c r="I213" s="117">
        <f t="shared" si="6"/>
        <v>0.0011825311190406904</v>
      </c>
      <c r="J213" s="65">
        <v>0</v>
      </c>
    </row>
    <row r="214" spans="1:10" ht="12.75">
      <c r="A214" s="124" t="s">
        <v>15</v>
      </c>
      <c r="B214" s="108"/>
      <c r="C214" s="108" t="s">
        <v>88</v>
      </c>
      <c r="D214" s="108"/>
      <c r="E214" s="215">
        <f>E216</f>
        <v>0</v>
      </c>
      <c r="F214" s="161">
        <f>SUM(F215:F216)</f>
        <v>8364</v>
      </c>
      <c r="G214" s="161">
        <f>SUM(G215:G216)</f>
        <v>8364.02</v>
      </c>
      <c r="H214" s="162">
        <f t="shared" si="7"/>
        <v>1.0000023912003826</v>
      </c>
      <c r="I214" s="162">
        <f t="shared" si="6"/>
        <v>0.0006240300427816934</v>
      </c>
      <c r="J214" s="161">
        <v>0</v>
      </c>
    </row>
    <row r="215" spans="1:10" ht="12.75">
      <c r="A215" s="12" t="s">
        <v>326</v>
      </c>
      <c r="B215" s="108"/>
      <c r="C215" s="108"/>
      <c r="D215" s="10" t="s">
        <v>327</v>
      </c>
      <c r="E215" s="230">
        <v>0</v>
      </c>
      <c r="F215" s="60">
        <v>182</v>
      </c>
      <c r="G215" s="60">
        <v>182</v>
      </c>
      <c r="H215" s="117">
        <f t="shared" si="7"/>
        <v>1</v>
      </c>
      <c r="I215" s="117">
        <f t="shared" si="6"/>
        <v>1.3578813511477518E-05</v>
      </c>
      <c r="J215" s="60">
        <v>0</v>
      </c>
    </row>
    <row r="216" spans="1:10" ht="12.75">
      <c r="A216" s="12" t="s">
        <v>439</v>
      </c>
      <c r="B216" s="35"/>
      <c r="C216" s="35"/>
      <c r="D216" s="10" t="s">
        <v>440</v>
      </c>
      <c r="E216" s="232">
        <v>0</v>
      </c>
      <c r="F216" s="59">
        <v>8182</v>
      </c>
      <c r="G216" s="59">
        <v>8182.02</v>
      </c>
      <c r="H216" s="37">
        <f t="shared" si="7"/>
        <v>1.0000024443901248</v>
      </c>
      <c r="I216" s="117">
        <f t="shared" si="6"/>
        <v>0.0006104512292702159</v>
      </c>
      <c r="J216" s="65">
        <v>0</v>
      </c>
    </row>
    <row r="217" spans="1:10" s="89" customFormat="1" ht="15" customHeight="1" hidden="1">
      <c r="A217" s="124" t="s">
        <v>15</v>
      </c>
      <c r="B217" s="108"/>
      <c r="C217" s="108" t="s">
        <v>88</v>
      </c>
      <c r="D217" s="108"/>
      <c r="E217" s="215">
        <f>SUM(E218:E220)</f>
        <v>0</v>
      </c>
      <c r="F217" s="161">
        <f>SUM(F218:F220)</f>
        <v>0</v>
      </c>
      <c r="G217" s="161">
        <f>SUM(G218:G220)</f>
        <v>0</v>
      </c>
      <c r="H217" s="165">
        <v>0</v>
      </c>
      <c r="I217" s="162">
        <f t="shared" si="6"/>
        <v>0</v>
      </c>
      <c r="J217" s="167">
        <v>0</v>
      </c>
    </row>
    <row r="218" spans="1:10" s="26" customFormat="1" ht="12.75" hidden="1">
      <c r="A218" s="11" t="s">
        <v>409</v>
      </c>
      <c r="B218" s="10"/>
      <c r="C218" s="10"/>
      <c r="D218" s="10" t="s">
        <v>99</v>
      </c>
      <c r="E218" s="230">
        <v>0</v>
      </c>
      <c r="F218" s="60">
        <v>0</v>
      </c>
      <c r="G218" s="60">
        <v>0</v>
      </c>
      <c r="H218" s="37">
        <v>0</v>
      </c>
      <c r="I218" s="117">
        <f t="shared" si="6"/>
        <v>0</v>
      </c>
      <c r="J218" s="65">
        <v>0</v>
      </c>
    </row>
    <row r="219" spans="1:10" s="26" customFormat="1" ht="25.5" hidden="1">
      <c r="A219" s="12" t="s">
        <v>425</v>
      </c>
      <c r="B219" s="10"/>
      <c r="C219" s="10"/>
      <c r="D219" s="10" t="s">
        <v>417</v>
      </c>
      <c r="E219" s="230">
        <v>0</v>
      </c>
      <c r="F219" s="60">
        <v>0</v>
      </c>
      <c r="G219" s="60">
        <v>0</v>
      </c>
      <c r="H219" s="37">
        <v>0</v>
      </c>
      <c r="I219" s="117">
        <f t="shared" si="6"/>
        <v>0</v>
      </c>
      <c r="J219" s="59">
        <v>0</v>
      </c>
    </row>
    <row r="220" spans="1:10" s="26" customFormat="1" ht="12.75" hidden="1">
      <c r="A220" s="12" t="s">
        <v>152</v>
      </c>
      <c r="B220" s="10"/>
      <c r="C220" s="10"/>
      <c r="D220" s="10" t="s">
        <v>131</v>
      </c>
      <c r="E220" s="230">
        <v>0</v>
      </c>
      <c r="F220" s="60">
        <v>0</v>
      </c>
      <c r="G220" s="60">
        <v>0</v>
      </c>
      <c r="H220" s="117">
        <v>0</v>
      </c>
      <c r="I220" s="117">
        <f t="shared" si="6"/>
        <v>0</v>
      </c>
      <c r="J220" s="65">
        <v>0</v>
      </c>
    </row>
    <row r="221" spans="1:10" s="89" customFormat="1" ht="18" customHeight="1">
      <c r="A221" s="5" t="s">
        <v>61</v>
      </c>
      <c r="B221" s="2">
        <v>921</v>
      </c>
      <c r="C221" s="2"/>
      <c r="D221" s="2"/>
      <c r="E221" s="217">
        <f>SUM(E222)</f>
        <v>60000</v>
      </c>
      <c r="F221" s="55">
        <f>SUM(F222)</f>
        <v>85000</v>
      </c>
      <c r="G221" s="55">
        <f>SUM(G222)</f>
        <v>52498</v>
      </c>
      <c r="H221" s="112">
        <f t="shared" si="7"/>
        <v>0.6176235294117647</v>
      </c>
      <c r="I221" s="112">
        <f t="shared" si="6"/>
        <v>0.0039168162182722345</v>
      </c>
      <c r="J221" s="64">
        <v>0</v>
      </c>
    </row>
    <row r="222" spans="1:10" ht="15" customHeight="1">
      <c r="A222" s="124" t="s">
        <v>64</v>
      </c>
      <c r="B222" s="108"/>
      <c r="C222" s="108">
        <v>92116</v>
      </c>
      <c r="D222" s="108"/>
      <c r="E222" s="215">
        <f>SUM(E223:E224)</f>
        <v>60000</v>
      </c>
      <c r="F222" s="215">
        <f>SUM(F223:F224)</f>
        <v>85000</v>
      </c>
      <c r="G222" s="215">
        <f>SUM(G223:G224)</f>
        <v>52498</v>
      </c>
      <c r="H222" s="165">
        <f t="shared" si="7"/>
        <v>0.6176235294117647</v>
      </c>
      <c r="I222" s="162">
        <f t="shared" si="6"/>
        <v>0.0039168162182722345</v>
      </c>
      <c r="J222" s="167">
        <v>0</v>
      </c>
    </row>
    <row r="223" spans="1:12" ht="37.5" customHeight="1">
      <c r="A223" s="136" t="s">
        <v>307</v>
      </c>
      <c r="B223" s="3"/>
      <c r="C223" s="10"/>
      <c r="D223" s="10" t="s">
        <v>130</v>
      </c>
      <c r="E223" s="228">
        <v>60000</v>
      </c>
      <c r="F223" s="54">
        <v>65000</v>
      </c>
      <c r="G223" s="54">
        <v>32498</v>
      </c>
      <c r="H223" s="37">
        <f t="shared" si="7"/>
        <v>0.4999692307692308</v>
      </c>
      <c r="I223" s="117">
        <f t="shared" si="6"/>
        <v>0.0024246389093186614</v>
      </c>
      <c r="J223" s="59">
        <v>0</v>
      </c>
      <c r="L223" s="93"/>
    </row>
    <row r="224" spans="1:12" ht="27.75" customHeight="1">
      <c r="A224" s="12" t="s">
        <v>510</v>
      </c>
      <c r="B224" s="3"/>
      <c r="C224" s="10"/>
      <c r="D224" s="10" t="s">
        <v>511</v>
      </c>
      <c r="E224" s="228">
        <v>0</v>
      </c>
      <c r="F224" s="54">
        <v>20000</v>
      </c>
      <c r="G224" s="54">
        <v>20000</v>
      </c>
      <c r="H224" s="37">
        <f t="shared" si="7"/>
        <v>1</v>
      </c>
      <c r="I224" s="117">
        <f t="shared" si="6"/>
        <v>0.0014921773089535734</v>
      </c>
      <c r="J224" s="59"/>
      <c r="L224" s="93"/>
    </row>
    <row r="225" spans="1:12" s="89" customFormat="1" ht="18" customHeight="1">
      <c r="A225" s="20" t="s">
        <v>330</v>
      </c>
      <c r="B225" s="34" t="s">
        <v>216</v>
      </c>
      <c r="C225" s="34"/>
      <c r="D225" s="34"/>
      <c r="E225" s="220">
        <f>SUM(E226)</f>
        <v>40109</v>
      </c>
      <c r="F225" s="96">
        <f>SUM(F233,F226)</f>
        <v>49791</v>
      </c>
      <c r="G225" s="96">
        <f>SUM(G226,G233)</f>
        <v>30128.79</v>
      </c>
      <c r="H225" s="112">
        <f t="shared" si="7"/>
        <v>0.6051051394830391</v>
      </c>
      <c r="I225" s="112">
        <f t="shared" si="6"/>
        <v>0.0022478748392113666</v>
      </c>
      <c r="J225" s="96">
        <f>SUM(J226,J233)</f>
        <v>0</v>
      </c>
      <c r="L225" s="128"/>
    </row>
    <row r="226" spans="1:12" s="26" customFormat="1" ht="15" customHeight="1">
      <c r="A226" s="141" t="s">
        <v>238</v>
      </c>
      <c r="B226" s="108"/>
      <c r="C226" s="108" t="s">
        <v>239</v>
      </c>
      <c r="D226" s="108"/>
      <c r="E226" s="215">
        <f>SUM(E227:E232)</f>
        <v>40109</v>
      </c>
      <c r="F226" s="166">
        <f>SUM(F227:F232)</f>
        <v>40726</v>
      </c>
      <c r="G226" s="166">
        <f>SUM(G227:G232)</f>
        <v>21063.050000000003</v>
      </c>
      <c r="H226" s="165">
        <f t="shared" si="7"/>
        <v>0.5171892648430978</v>
      </c>
      <c r="I226" s="162">
        <f t="shared" si="6"/>
        <v>0.0015714902633677285</v>
      </c>
      <c r="J226" s="166">
        <f>SUM(J227:J232)</f>
        <v>0</v>
      </c>
      <c r="L226" s="97"/>
    </row>
    <row r="227" spans="1:12" s="26" customFormat="1" ht="36">
      <c r="A227" s="136" t="s">
        <v>334</v>
      </c>
      <c r="B227" s="35"/>
      <c r="C227" s="35"/>
      <c r="D227" s="10" t="s">
        <v>98</v>
      </c>
      <c r="E227" s="232">
        <v>7245</v>
      </c>
      <c r="F227" s="59">
        <v>7245</v>
      </c>
      <c r="G227" s="59">
        <v>4014.46</v>
      </c>
      <c r="H227" s="117">
        <f t="shared" si="7"/>
        <v>0.5541007591442374</v>
      </c>
      <c r="I227" s="117">
        <f t="shared" si="6"/>
        <v>0.0002995143059850881</v>
      </c>
      <c r="J227" s="95">
        <v>0</v>
      </c>
      <c r="L227" s="97"/>
    </row>
    <row r="228" spans="1:12" s="26" customFormat="1" ht="12.75" hidden="1">
      <c r="A228" s="12" t="s">
        <v>56</v>
      </c>
      <c r="B228" s="35"/>
      <c r="C228" s="35"/>
      <c r="D228" s="10" t="s">
        <v>122</v>
      </c>
      <c r="E228" s="232">
        <v>0</v>
      </c>
      <c r="F228" s="59">
        <v>0</v>
      </c>
      <c r="G228" s="60">
        <v>0</v>
      </c>
      <c r="H228" s="117" t="e">
        <f t="shared" si="7"/>
        <v>#DIV/0!</v>
      </c>
      <c r="I228" s="117">
        <f t="shared" si="6"/>
        <v>0</v>
      </c>
      <c r="J228" s="59">
        <v>0</v>
      </c>
      <c r="L228" s="97"/>
    </row>
    <row r="229" spans="1:12" s="26" customFormat="1" ht="12.75" hidden="1">
      <c r="A229" s="12" t="s">
        <v>326</v>
      </c>
      <c r="B229" s="35"/>
      <c r="C229" s="35"/>
      <c r="D229" s="10" t="s">
        <v>327</v>
      </c>
      <c r="E229" s="232">
        <v>0</v>
      </c>
      <c r="F229" s="59">
        <v>0</v>
      </c>
      <c r="G229" s="60">
        <v>0</v>
      </c>
      <c r="H229" s="117" t="e">
        <f t="shared" si="7"/>
        <v>#DIV/0!</v>
      </c>
      <c r="I229" s="117">
        <f t="shared" si="6"/>
        <v>0</v>
      </c>
      <c r="J229" s="59">
        <v>0</v>
      </c>
      <c r="L229" s="97"/>
    </row>
    <row r="230" spans="1:12" s="26" customFormat="1" ht="12.75">
      <c r="A230" s="11" t="s">
        <v>409</v>
      </c>
      <c r="B230" s="35"/>
      <c r="C230" s="35"/>
      <c r="D230" s="10" t="s">
        <v>99</v>
      </c>
      <c r="E230" s="232">
        <v>20</v>
      </c>
      <c r="F230" s="59">
        <v>20</v>
      </c>
      <c r="G230" s="59">
        <v>8.95</v>
      </c>
      <c r="H230" s="117">
        <f t="shared" si="7"/>
        <v>0.44749999999999995</v>
      </c>
      <c r="I230" s="117">
        <f t="shared" si="6"/>
        <v>6.67749345756724E-07</v>
      </c>
      <c r="J230" s="65">
        <v>0</v>
      </c>
      <c r="L230" s="97"/>
    </row>
    <row r="231" spans="1:12" s="26" customFormat="1" ht="12.75">
      <c r="A231" s="11" t="s">
        <v>439</v>
      </c>
      <c r="B231" s="35"/>
      <c r="C231" s="35"/>
      <c r="D231" s="10" t="s">
        <v>440</v>
      </c>
      <c r="E231" s="232">
        <v>0</v>
      </c>
      <c r="F231" s="59">
        <v>58</v>
      </c>
      <c r="G231" s="59">
        <v>57.99</v>
      </c>
      <c r="H231" s="117">
        <f t="shared" si="7"/>
        <v>0.9998275862068966</v>
      </c>
      <c r="I231" s="117">
        <f t="shared" si="6"/>
        <v>4.326568107310886E-06</v>
      </c>
      <c r="J231" s="65">
        <v>0</v>
      </c>
      <c r="L231" s="97"/>
    </row>
    <row r="232" spans="1:12" s="89" customFormat="1" ht="15" customHeight="1">
      <c r="A232" s="13" t="s">
        <v>441</v>
      </c>
      <c r="B232" s="35"/>
      <c r="C232" s="35"/>
      <c r="D232" s="10" t="s">
        <v>442</v>
      </c>
      <c r="E232" s="232">
        <v>32844</v>
      </c>
      <c r="F232" s="59">
        <v>33403</v>
      </c>
      <c r="G232" s="59">
        <v>16981.65</v>
      </c>
      <c r="H232" s="117">
        <f t="shared" si="7"/>
        <v>0.5083869712301291</v>
      </c>
      <c r="I232" s="117">
        <f t="shared" si="6"/>
        <v>0.0012669816399295726</v>
      </c>
      <c r="J232" s="59">
        <v>0</v>
      </c>
      <c r="L232" s="128"/>
    </row>
    <row r="233" spans="1:12" s="94" customFormat="1" ht="15" customHeight="1">
      <c r="A233" s="175" t="s">
        <v>15</v>
      </c>
      <c r="B233" s="108"/>
      <c r="C233" s="108" t="s">
        <v>512</v>
      </c>
      <c r="D233" s="108"/>
      <c r="E233" s="215">
        <f>SUM(E235)</f>
        <v>0</v>
      </c>
      <c r="F233" s="161">
        <f>F235</f>
        <v>9065</v>
      </c>
      <c r="G233" s="161">
        <f>G235</f>
        <v>9065.74</v>
      </c>
      <c r="H233" s="162">
        <f t="shared" si="7"/>
        <v>1.0000816326530613</v>
      </c>
      <c r="I233" s="162">
        <f t="shared" si="6"/>
        <v>0.0006763845758436384</v>
      </c>
      <c r="J233" s="167">
        <f>J234+J235</f>
        <v>0</v>
      </c>
      <c r="L233" s="98"/>
    </row>
    <row r="234" spans="1:12" s="94" customFormat="1" ht="24.75" customHeight="1" hidden="1">
      <c r="A234" s="136" t="s">
        <v>495</v>
      </c>
      <c r="B234" s="10"/>
      <c r="C234" s="10"/>
      <c r="D234" s="10" t="s">
        <v>103</v>
      </c>
      <c r="E234" s="230">
        <v>0</v>
      </c>
      <c r="F234" s="60">
        <v>0</v>
      </c>
      <c r="G234" s="60">
        <v>0</v>
      </c>
      <c r="H234" s="117" t="e">
        <f t="shared" si="7"/>
        <v>#DIV/0!</v>
      </c>
      <c r="I234" s="117">
        <f t="shared" si="6"/>
        <v>0</v>
      </c>
      <c r="J234" s="137">
        <v>0</v>
      </c>
      <c r="L234" s="98"/>
    </row>
    <row r="235" spans="1:10" ht="12.75" customHeight="1">
      <c r="A235" s="136" t="s">
        <v>441</v>
      </c>
      <c r="B235" s="10"/>
      <c r="C235" s="10"/>
      <c r="D235" s="10" t="s">
        <v>442</v>
      </c>
      <c r="E235" s="230">
        <v>0</v>
      </c>
      <c r="F235" s="60">
        <v>9065</v>
      </c>
      <c r="G235" s="60">
        <v>9065.74</v>
      </c>
      <c r="H235" s="117">
        <f t="shared" si="7"/>
        <v>1.0000816326530613</v>
      </c>
      <c r="I235" s="117">
        <f t="shared" si="6"/>
        <v>0.0006763845758436384</v>
      </c>
      <c r="J235" s="59">
        <v>0</v>
      </c>
    </row>
    <row r="236" spans="1:10" ht="21" customHeight="1">
      <c r="A236" s="8" t="s">
        <v>65</v>
      </c>
      <c r="B236" s="9"/>
      <c r="C236" s="9"/>
      <c r="D236" s="9"/>
      <c r="E236" s="220">
        <f>SUM(E225,E221,E193,E171,E141,E137,E103,E93,E59,E54,E47,E27,E15,E9,E3,E174,E166)</f>
        <v>27301901.25</v>
      </c>
      <c r="F236" s="220">
        <f>SUM(F225,F221,F193,F171,F141,F137,F103,F93,F59,F54,F47,F27,F15,F9,F3,F174,F166)</f>
        <v>26836140.420000006</v>
      </c>
      <c r="G236" s="239">
        <f>SUM(G225,G221,G193,G171,G141,G137,G103,G93,G59,G54,G47,G27,G15,G9,G3,G174,G166)</f>
        <v>13403232.900000002</v>
      </c>
      <c r="H236" s="112">
        <f t="shared" si="7"/>
        <v>0.49944711460859165</v>
      </c>
      <c r="I236" s="112">
        <f t="shared" si="6"/>
        <v>1.0000000000000002</v>
      </c>
      <c r="J236" s="220">
        <f>SUM(J225,J221,J193,J141,J137,J103,J93,J59,J54,J47,J27,J15,J9,J3,J174,J166)</f>
        <v>1276145.3</v>
      </c>
    </row>
    <row r="237" spans="1:10" ht="15" customHeight="1">
      <c r="A237" s="75" t="s">
        <v>282</v>
      </c>
      <c r="B237" s="75"/>
      <c r="C237" s="75"/>
      <c r="D237" s="75"/>
      <c r="E237" s="212"/>
      <c r="F237" s="76"/>
      <c r="G237" s="76"/>
      <c r="H237" s="112"/>
      <c r="I237" s="117"/>
      <c r="J237" s="76"/>
    </row>
    <row r="238" spans="1:10" ht="18" customHeight="1">
      <c r="A238" s="75" t="s">
        <v>245</v>
      </c>
      <c r="B238" s="75"/>
      <c r="C238" s="75"/>
      <c r="D238" s="75"/>
      <c r="E238" s="212">
        <v>22253619.25</v>
      </c>
      <c r="F238" s="156">
        <f>F236-F239</f>
        <v>22670679.420000006</v>
      </c>
      <c r="G238" s="156">
        <f>G236-G239</f>
        <v>12470408.620000003</v>
      </c>
      <c r="H238" s="117">
        <f t="shared" si="7"/>
        <v>0.5500677059108624</v>
      </c>
      <c r="I238" s="117">
        <f t="shared" si="6"/>
        <v>0.9304030388071525</v>
      </c>
      <c r="J238" s="76"/>
    </row>
    <row r="239" spans="1:10" ht="18" customHeight="1">
      <c r="A239" s="75" t="s">
        <v>246</v>
      </c>
      <c r="B239" s="75"/>
      <c r="C239" s="75"/>
      <c r="D239" s="75"/>
      <c r="E239" s="212">
        <v>5048282</v>
      </c>
      <c r="F239" s="86">
        <f>F197+F215+F208</f>
        <v>4165461</v>
      </c>
      <c r="G239" s="86">
        <f>G197+G215+G208</f>
        <v>932824.28</v>
      </c>
      <c r="H239" s="117">
        <f t="shared" si="7"/>
        <v>0.22394262723861777</v>
      </c>
      <c r="I239" s="117">
        <f t="shared" si="6"/>
        <v>0.06959696119284774</v>
      </c>
      <c r="J239" s="76"/>
    </row>
    <row r="240" ht="12.75">
      <c r="A240" t="s">
        <v>426</v>
      </c>
    </row>
    <row r="241" ht="12.75">
      <c r="A241" t="s">
        <v>536</v>
      </c>
    </row>
  </sheetData>
  <sheetProtection/>
  <autoFilter ref="D1:D241"/>
  <mergeCells count="5">
    <mergeCell ref="A1:A2"/>
    <mergeCell ref="B1:D1"/>
    <mergeCell ref="E1:E2"/>
    <mergeCell ref="I1:I2"/>
    <mergeCell ref="J1:J2"/>
  </mergeCells>
  <printOptions/>
  <pageMargins left="0.6692913385826772" right="0.6692913385826772" top="0.984251968503937" bottom="0.984251968503937" header="0.5118110236220472" footer="0.5118110236220472"/>
  <pageSetup horizontalDpi="600" verticalDpi="600" orientation="landscape" paperSize="9" scale="93" r:id="rId3"/>
  <headerFooter alignWithMargins="0">
    <oddHeader>&amp;R&amp;"Arial CE,Pogrubiony"Załącznik Nr 1&amp;"Arial CE,Standardowy"
do informacji z przebiegu  wykonania budżetu Miasta Radziejów za I półrocze 2018 roku</oddHeader>
    <oddFooter>&amp;C&amp;P&amp;R&amp;"Arial CE,Pogrubiony"&amp;12DOCHODY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7"/>
  <sheetViews>
    <sheetView zoomScalePageLayoutView="0" workbookViewId="0" topLeftCell="A560">
      <selection activeCell="G579" sqref="G579:G589"/>
    </sheetView>
  </sheetViews>
  <sheetFormatPr defaultColWidth="9.00390625" defaultRowHeight="12.75"/>
  <cols>
    <col min="1" max="1" width="55.75390625" style="0" customWidth="1"/>
    <col min="2" max="2" width="6.75390625" style="0" customWidth="1"/>
    <col min="3" max="3" width="7.75390625" style="0" bestFit="1" customWidth="1"/>
    <col min="4" max="4" width="7.125" style="0" customWidth="1"/>
    <col min="5" max="5" width="14.25390625" style="214" customWidth="1"/>
    <col min="6" max="6" width="14.25390625" style="61" customWidth="1"/>
    <col min="7" max="7" width="14.25390625" style="44" customWidth="1"/>
    <col min="8" max="8" width="9.75390625" style="26" customWidth="1"/>
    <col min="9" max="9" width="9.875" style="73" customWidth="1"/>
    <col min="10" max="10" width="9.875" style="85" hidden="1" customWidth="1"/>
    <col min="11" max="11" width="9.125" style="0" customWidth="1"/>
    <col min="12" max="12" width="14.375" style="0" customWidth="1"/>
    <col min="14" max="14" width="10.625" style="0" customWidth="1"/>
  </cols>
  <sheetData>
    <row r="1" spans="1:10" ht="12.75" customHeight="1">
      <c r="A1" s="270" t="s">
        <v>0</v>
      </c>
      <c r="B1" s="272" t="s">
        <v>66</v>
      </c>
      <c r="C1" s="273"/>
      <c r="D1" s="274"/>
      <c r="E1" s="275" t="s">
        <v>497</v>
      </c>
      <c r="F1" s="268" t="s">
        <v>67</v>
      </c>
      <c r="G1" s="268" t="s">
        <v>68</v>
      </c>
      <c r="H1" s="266" t="s">
        <v>69</v>
      </c>
      <c r="I1" s="277" t="s">
        <v>229</v>
      </c>
      <c r="J1" s="264" t="s">
        <v>405</v>
      </c>
    </row>
    <row r="2" spans="1:10" ht="45.75" customHeight="1">
      <c r="A2" s="271"/>
      <c r="B2" s="14" t="s">
        <v>1</v>
      </c>
      <c r="C2" s="158" t="s">
        <v>2</v>
      </c>
      <c r="D2" s="14" t="s">
        <v>3</v>
      </c>
      <c r="E2" s="276"/>
      <c r="F2" s="269"/>
      <c r="G2" s="269"/>
      <c r="H2" s="267"/>
      <c r="I2" s="278"/>
      <c r="J2" s="265"/>
    </row>
    <row r="3" spans="1:10" ht="18" customHeight="1">
      <c r="A3" s="15" t="s">
        <v>4</v>
      </c>
      <c r="B3" s="16" t="s">
        <v>70</v>
      </c>
      <c r="C3" s="16"/>
      <c r="D3" s="16"/>
      <c r="E3" s="201">
        <f>SUM(E5,E6)</f>
        <v>850</v>
      </c>
      <c r="F3" s="39">
        <f>SUM(F4,F6)</f>
        <v>13141.890000000001</v>
      </c>
      <c r="G3" s="39">
        <f>SUM(G5,G6)</f>
        <v>12781.69</v>
      </c>
      <c r="H3" s="157">
        <f>G3/F3</f>
        <v>0.9725914613499276</v>
      </c>
      <c r="I3" s="30">
        <f>G3/12395900.43</f>
        <v>0.0010311223514724538</v>
      </c>
      <c r="J3" s="83">
        <v>0</v>
      </c>
    </row>
    <row r="4" spans="1:10" s="89" customFormat="1" ht="15" customHeight="1">
      <c r="A4" s="119" t="s">
        <v>5</v>
      </c>
      <c r="B4" s="120"/>
      <c r="C4" s="120" t="s">
        <v>177</v>
      </c>
      <c r="D4" s="120"/>
      <c r="E4" s="202">
        <f>SUM(E5)</f>
        <v>850</v>
      </c>
      <c r="F4" s="121">
        <v>850</v>
      </c>
      <c r="G4" s="121">
        <f>SUM(G5:G5)</f>
        <v>489.8</v>
      </c>
      <c r="H4" s="90">
        <f aca="true" t="shared" si="0" ref="H4:H87">G4/F4</f>
        <v>0.5762352941176471</v>
      </c>
      <c r="I4" s="90">
        <f>G4/12395900.43</f>
        <v>3.951306343302082E-05</v>
      </c>
      <c r="J4" s="122"/>
    </row>
    <row r="5" spans="1:10" ht="25.5">
      <c r="A5" s="19" t="s">
        <v>308</v>
      </c>
      <c r="B5" s="18"/>
      <c r="C5" s="18"/>
      <c r="D5" s="18">
        <v>2850</v>
      </c>
      <c r="E5" s="203">
        <v>850</v>
      </c>
      <c r="F5" s="52">
        <v>850</v>
      </c>
      <c r="G5" s="38">
        <v>489.8</v>
      </c>
      <c r="H5" s="118">
        <f t="shared" si="0"/>
        <v>0.5762352941176471</v>
      </c>
      <c r="I5" s="118">
        <f aca="true" t="shared" si="1" ref="I5:I68">G5/12395900.43</f>
        <v>3.951306343302082E-05</v>
      </c>
      <c r="J5" s="42"/>
    </row>
    <row r="6" spans="1:10" s="89" customFormat="1" ht="15" customHeight="1">
      <c r="A6" s="87" t="s">
        <v>15</v>
      </c>
      <c r="B6" s="120"/>
      <c r="C6" s="120" t="s">
        <v>198</v>
      </c>
      <c r="D6" s="120"/>
      <c r="E6" s="121">
        <f>SUM(E7:E13)</f>
        <v>0</v>
      </c>
      <c r="F6" s="121">
        <f>SUM(F7:F13)</f>
        <v>12291.890000000001</v>
      </c>
      <c r="G6" s="121">
        <f>SUM(G7:G13)</f>
        <v>12291.890000000001</v>
      </c>
      <c r="H6" s="90">
        <f t="shared" si="0"/>
        <v>1</v>
      </c>
      <c r="I6" s="118">
        <f t="shared" si="1"/>
        <v>0.000991609288039433</v>
      </c>
      <c r="J6" s="122"/>
    </row>
    <row r="7" spans="1:10" ht="12.75">
      <c r="A7" s="19" t="s">
        <v>182</v>
      </c>
      <c r="B7" s="18"/>
      <c r="C7" s="18"/>
      <c r="D7" s="18" t="s">
        <v>146</v>
      </c>
      <c r="E7" s="203">
        <v>0</v>
      </c>
      <c r="F7" s="52">
        <v>100</v>
      </c>
      <c r="G7" s="38">
        <v>100</v>
      </c>
      <c r="H7" s="118">
        <f t="shared" si="0"/>
        <v>1</v>
      </c>
      <c r="I7" s="118">
        <f t="shared" si="1"/>
        <v>8.067183224381547E-06</v>
      </c>
      <c r="J7" s="42"/>
    </row>
    <row r="8" spans="1:10" ht="12.75">
      <c r="A8" s="19" t="s">
        <v>21</v>
      </c>
      <c r="B8" s="18"/>
      <c r="C8" s="18"/>
      <c r="D8" s="18" t="s">
        <v>78</v>
      </c>
      <c r="E8" s="203">
        <v>0</v>
      </c>
      <c r="F8" s="52">
        <v>17.19</v>
      </c>
      <c r="G8" s="38">
        <v>17.19</v>
      </c>
      <c r="H8" s="118">
        <v>0</v>
      </c>
      <c r="I8" s="118">
        <f t="shared" si="1"/>
        <v>1.386748796271188E-06</v>
      </c>
      <c r="J8" s="42"/>
    </row>
    <row r="9" spans="1:10" ht="12.75">
      <c r="A9" s="19" t="s">
        <v>22</v>
      </c>
      <c r="B9" s="18"/>
      <c r="C9" s="18"/>
      <c r="D9" s="18" t="s">
        <v>79</v>
      </c>
      <c r="E9" s="203">
        <v>0</v>
      </c>
      <c r="F9" s="52">
        <v>2.45</v>
      </c>
      <c r="G9" s="38">
        <v>2.45</v>
      </c>
      <c r="H9" s="118">
        <f t="shared" si="0"/>
        <v>1</v>
      </c>
      <c r="I9" s="118">
        <f t="shared" si="1"/>
        <v>1.9764598899734792E-07</v>
      </c>
      <c r="J9" s="42"/>
    </row>
    <row r="10" spans="1:10" ht="12.75">
      <c r="A10" s="19" t="s">
        <v>9</v>
      </c>
      <c r="B10" s="18"/>
      <c r="C10" s="18"/>
      <c r="D10" s="18" t="s">
        <v>80</v>
      </c>
      <c r="E10" s="203">
        <v>0</v>
      </c>
      <c r="F10" s="52">
        <v>19.98</v>
      </c>
      <c r="G10" s="38">
        <v>19.98</v>
      </c>
      <c r="H10" s="118">
        <f t="shared" si="0"/>
        <v>1</v>
      </c>
      <c r="I10" s="118">
        <f t="shared" si="1"/>
        <v>1.611823208231433E-06</v>
      </c>
      <c r="J10" s="42"/>
    </row>
    <row r="11" spans="1:10" ht="12.75">
      <c r="A11" s="19" t="s">
        <v>12</v>
      </c>
      <c r="B11" s="18"/>
      <c r="C11" s="18"/>
      <c r="D11" s="18" t="s">
        <v>76</v>
      </c>
      <c r="E11" s="203">
        <v>0</v>
      </c>
      <c r="F11" s="52">
        <v>101.4</v>
      </c>
      <c r="G11" s="38">
        <v>101.4</v>
      </c>
      <c r="H11" s="118">
        <f t="shared" si="0"/>
        <v>1</v>
      </c>
      <c r="I11" s="118">
        <f t="shared" si="1"/>
        <v>8.180123789522889E-06</v>
      </c>
      <c r="J11" s="42"/>
    </row>
    <row r="12" spans="1:10" ht="12.75">
      <c r="A12" s="19" t="s">
        <v>26</v>
      </c>
      <c r="B12" s="18"/>
      <c r="C12" s="18"/>
      <c r="D12" s="18" t="s">
        <v>89</v>
      </c>
      <c r="E12" s="203">
        <v>0</v>
      </c>
      <c r="F12" s="52">
        <v>12050.87</v>
      </c>
      <c r="G12" s="38">
        <v>12050.87</v>
      </c>
      <c r="H12" s="118">
        <f t="shared" si="0"/>
        <v>1</v>
      </c>
      <c r="I12" s="118">
        <f t="shared" si="1"/>
        <v>0.0009721657630320286</v>
      </c>
      <c r="J12" s="42"/>
    </row>
    <row r="13" spans="1:10" ht="12.75" hidden="1">
      <c r="A13" s="78" t="s">
        <v>87</v>
      </c>
      <c r="B13" s="18"/>
      <c r="C13" s="18"/>
      <c r="D13" s="18" t="s">
        <v>86</v>
      </c>
      <c r="E13" s="203">
        <v>0</v>
      </c>
      <c r="F13" s="52">
        <v>0</v>
      </c>
      <c r="G13" s="38">
        <v>0</v>
      </c>
      <c r="H13" s="118" t="e">
        <f t="shared" si="0"/>
        <v>#DIV/0!</v>
      </c>
      <c r="I13" s="118">
        <f t="shared" si="1"/>
        <v>0</v>
      </c>
      <c r="J13" s="42"/>
    </row>
    <row r="14" spans="1:10" s="89" customFormat="1" ht="18" customHeight="1">
      <c r="A14" s="46" t="s">
        <v>199</v>
      </c>
      <c r="B14" s="47" t="s">
        <v>200</v>
      </c>
      <c r="C14" s="47"/>
      <c r="D14" s="47"/>
      <c r="E14" s="204">
        <f>SUM(E15)</f>
        <v>5000</v>
      </c>
      <c r="F14" s="48">
        <f>SUM(F15)</f>
        <v>5000</v>
      </c>
      <c r="G14" s="48">
        <f>SUM(G15)</f>
        <v>0</v>
      </c>
      <c r="H14" s="30">
        <f t="shared" si="0"/>
        <v>0</v>
      </c>
      <c r="I14" s="30">
        <f t="shared" si="1"/>
        <v>0</v>
      </c>
      <c r="J14" s="83">
        <f>G14/7232332.21</f>
        <v>0</v>
      </c>
    </row>
    <row r="15" spans="1:10" ht="15" customHeight="1">
      <c r="A15" s="119" t="s">
        <v>201</v>
      </c>
      <c r="B15" s="120"/>
      <c r="C15" s="120" t="s">
        <v>202</v>
      </c>
      <c r="D15" s="120"/>
      <c r="E15" s="202">
        <f>SUM(E16:E17)</f>
        <v>5000</v>
      </c>
      <c r="F15" s="121">
        <f>SUM(F16:F17)</f>
        <v>5000</v>
      </c>
      <c r="G15" s="121">
        <f>SUM(G16:G17)</f>
        <v>0</v>
      </c>
      <c r="H15" s="90">
        <f t="shared" si="0"/>
        <v>0</v>
      </c>
      <c r="I15" s="90">
        <f t="shared" si="1"/>
        <v>0</v>
      </c>
      <c r="J15" s="122"/>
    </row>
    <row r="16" spans="1:10" ht="12.75">
      <c r="A16" s="27" t="s">
        <v>9</v>
      </c>
      <c r="B16" s="18"/>
      <c r="C16" s="28"/>
      <c r="D16" s="28" t="s">
        <v>80</v>
      </c>
      <c r="E16" s="203">
        <v>3000</v>
      </c>
      <c r="F16" s="52">
        <v>3000</v>
      </c>
      <c r="G16" s="38">
        <v>0</v>
      </c>
      <c r="H16" s="118">
        <f t="shared" si="0"/>
        <v>0</v>
      </c>
      <c r="I16" s="118">
        <f t="shared" si="1"/>
        <v>0</v>
      </c>
      <c r="J16" s="42"/>
    </row>
    <row r="17" spans="1:10" ht="12.75">
      <c r="A17" s="27" t="s">
        <v>12</v>
      </c>
      <c r="B17" s="18"/>
      <c r="C17" s="18"/>
      <c r="D17" s="28" t="s">
        <v>76</v>
      </c>
      <c r="E17" s="203">
        <v>2000</v>
      </c>
      <c r="F17" s="52">
        <v>2000</v>
      </c>
      <c r="G17" s="38">
        <v>0</v>
      </c>
      <c r="H17" s="118">
        <f t="shared" si="0"/>
        <v>0</v>
      </c>
      <c r="I17" s="118">
        <f t="shared" si="1"/>
        <v>0</v>
      </c>
      <c r="J17" s="42"/>
    </row>
    <row r="18" spans="1:10" s="49" customFormat="1" ht="18" customHeight="1">
      <c r="A18" s="15" t="s">
        <v>6</v>
      </c>
      <c r="B18" s="16">
        <v>600</v>
      </c>
      <c r="C18" s="16"/>
      <c r="D18" s="16"/>
      <c r="E18" s="201">
        <f>SUM(E19,E29,E24,E21,E44)</f>
        <v>570620</v>
      </c>
      <c r="F18" s="201">
        <f>SUM(F19,F29,F24,F21,F44)</f>
        <v>1490149</v>
      </c>
      <c r="G18" s="201">
        <f>SUM(G19,G29,G24,G21,G44)</f>
        <v>356005.81000000006</v>
      </c>
      <c r="H18" s="30">
        <f t="shared" si="0"/>
        <v>0.23890618320718268</v>
      </c>
      <c r="I18" s="30">
        <f t="shared" si="1"/>
        <v>0.02871964098214365</v>
      </c>
      <c r="J18" s="83">
        <v>0</v>
      </c>
    </row>
    <row r="19" spans="1:10" s="89" customFormat="1" ht="15" customHeight="1">
      <c r="A19" s="147" t="s">
        <v>361</v>
      </c>
      <c r="B19" s="125"/>
      <c r="C19" s="125" t="s">
        <v>362</v>
      </c>
      <c r="D19" s="125"/>
      <c r="E19" s="205">
        <f>E20</f>
        <v>820</v>
      </c>
      <c r="F19" s="127">
        <f>F20</f>
        <v>820</v>
      </c>
      <c r="G19" s="127">
        <f>G20</f>
        <v>819.2</v>
      </c>
      <c r="H19" s="90">
        <f t="shared" si="0"/>
        <v>0.9990243902439025</v>
      </c>
      <c r="I19" s="90">
        <f t="shared" si="1"/>
        <v>6.608636497413363E-05</v>
      </c>
      <c r="J19" s="121"/>
    </row>
    <row r="20" spans="1:10" ht="12.75">
      <c r="A20" s="148" t="s">
        <v>208</v>
      </c>
      <c r="B20" s="21"/>
      <c r="C20" s="21"/>
      <c r="D20" s="21" t="s">
        <v>209</v>
      </c>
      <c r="E20" s="206">
        <v>820</v>
      </c>
      <c r="F20" s="40">
        <v>820</v>
      </c>
      <c r="G20" s="40">
        <v>819.2</v>
      </c>
      <c r="H20" s="118">
        <f>G20/F20</f>
        <v>0.9990243902439025</v>
      </c>
      <c r="I20" s="118">
        <f t="shared" si="1"/>
        <v>6.608636497413363E-05</v>
      </c>
      <c r="J20" s="38"/>
    </row>
    <row r="21" spans="1:10" ht="15" customHeight="1">
      <c r="A21" s="124" t="s">
        <v>310</v>
      </c>
      <c r="B21" s="125"/>
      <c r="C21" s="125" t="s">
        <v>203</v>
      </c>
      <c r="D21" s="125"/>
      <c r="E21" s="205">
        <f>SUM(E22:E23)</f>
        <v>15800</v>
      </c>
      <c r="F21" s="127">
        <f>SUM(F22)</f>
        <v>15800</v>
      </c>
      <c r="G21" s="127">
        <f>SUM(G22:G22)</f>
        <v>15800</v>
      </c>
      <c r="H21" s="90">
        <f t="shared" si="0"/>
        <v>1</v>
      </c>
      <c r="I21" s="90">
        <f t="shared" si="1"/>
        <v>0.0012746149494522845</v>
      </c>
      <c r="J21" s="122"/>
    </row>
    <row r="22" spans="1:10" ht="12.75">
      <c r="A22" s="36" t="s">
        <v>309</v>
      </c>
      <c r="B22" s="21"/>
      <c r="C22" s="21"/>
      <c r="D22" s="21" t="s">
        <v>312</v>
      </c>
      <c r="E22" s="206">
        <v>15800</v>
      </c>
      <c r="F22" s="40">
        <v>15800</v>
      </c>
      <c r="G22" s="40">
        <v>15800</v>
      </c>
      <c r="H22" s="118">
        <f t="shared" si="0"/>
        <v>1</v>
      </c>
      <c r="I22" s="118">
        <f t="shared" si="1"/>
        <v>0.0012746149494522845</v>
      </c>
      <c r="J22" s="42"/>
    </row>
    <row r="23" spans="1:10" ht="12.75" hidden="1">
      <c r="A23" s="78" t="s">
        <v>87</v>
      </c>
      <c r="B23" s="21"/>
      <c r="C23" s="21"/>
      <c r="D23" s="21" t="s">
        <v>86</v>
      </c>
      <c r="E23" s="206">
        <v>0</v>
      </c>
      <c r="F23" s="40">
        <v>0</v>
      </c>
      <c r="G23" s="40">
        <v>0</v>
      </c>
      <c r="H23" s="118" t="e">
        <f t="shared" si="0"/>
        <v>#DIV/0!</v>
      </c>
      <c r="I23" s="118">
        <f t="shared" si="1"/>
        <v>0</v>
      </c>
      <c r="J23" s="42"/>
    </row>
    <row r="24" spans="1:10" ht="15" customHeight="1">
      <c r="A24" s="124" t="s">
        <v>311</v>
      </c>
      <c r="B24" s="125"/>
      <c r="C24" s="125" t="s">
        <v>204</v>
      </c>
      <c r="D24" s="125"/>
      <c r="E24" s="205">
        <f>SUM(E25,E26,E27,E28)</f>
        <v>0</v>
      </c>
      <c r="F24" s="127">
        <f>SUM(F25,F26,F27,F28)</f>
        <v>492659</v>
      </c>
      <c r="G24" s="127">
        <f>SUM(G25,G26,G27)</f>
        <v>32659</v>
      </c>
      <c r="H24" s="90">
        <f t="shared" si="0"/>
        <v>0.06629128870070373</v>
      </c>
      <c r="I24" s="90">
        <f t="shared" si="1"/>
        <v>0.0026346613692507692</v>
      </c>
      <c r="J24" s="122"/>
    </row>
    <row r="25" spans="1:10" s="103" customFormat="1" ht="38.25" hidden="1">
      <c r="A25" s="29" t="s">
        <v>277</v>
      </c>
      <c r="B25" s="21"/>
      <c r="C25" s="21"/>
      <c r="D25" s="21" t="s">
        <v>276</v>
      </c>
      <c r="E25" s="206">
        <v>0</v>
      </c>
      <c r="F25" s="40">
        <v>0</v>
      </c>
      <c r="G25" s="40">
        <v>0</v>
      </c>
      <c r="H25" s="118" t="e">
        <f t="shared" si="0"/>
        <v>#DIV/0!</v>
      </c>
      <c r="I25" s="118">
        <f t="shared" si="1"/>
        <v>0</v>
      </c>
      <c r="J25" s="42"/>
    </row>
    <row r="26" spans="1:10" s="103" customFormat="1" ht="12.75">
      <c r="A26" s="29" t="s">
        <v>391</v>
      </c>
      <c r="B26" s="21"/>
      <c r="C26" s="21"/>
      <c r="D26" s="21" t="s">
        <v>312</v>
      </c>
      <c r="E26" s="206">
        <v>0</v>
      </c>
      <c r="F26" s="40">
        <v>32659</v>
      </c>
      <c r="G26" s="40">
        <v>32659</v>
      </c>
      <c r="H26" s="118">
        <f t="shared" si="0"/>
        <v>1</v>
      </c>
      <c r="I26" s="118">
        <f t="shared" si="1"/>
        <v>0.0026346613692507692</v>
      </c>
      <c r="J26" s="42"/>
    </row>
    <row r="27" spans="1:10" s="103" customFormat="1" ht="12.75" hidden="1">
      <c r="A27" s="29" t="s">
        <v>87</v>
      </c>
      <c r="B27" s="21"/>
      <c r="C27" s="21"/>
      <c r="D27" s="21" t="s">
        <v>86</v>
      </c>
      <c r="E27" s="206">
        <v>0</v>
      </c>
      <c r="F27" s="40">
        <v>0</v>
      </c>
      <c r="G27" s="40">
        <v>0</v>
      </c>
      <c r="H27" s="90" t="e">
        <f t="shared" si="0"/>
        <v>#DIV/0!</v>
      </c>
      <c r="I27" s="118">
        <f t="shared" si="1"/>
        <v>0</v>
      </c>
      <c r="J27" s="42"/>
    </row>
    <row r="28" spans="1:10" s="103" customFormat="1" ht="37.5" customHeight="1">
      <c r="A28" s="29" t="s">
        <v>403</v>
      </c>
      <c r="B28" s="21"/>
      <c r="C28" s="21"/>
      <c r="D28" s="21" t="s">
        <v>357</v>
      </c>
      <c r="E28" s="206">
        <v>0</v>
      </c>
      <c r="F28" s="40">
        <v>460000</v>
      </c>
      <c r="G28" s="40">
        <v>0</v>
      </c>
      <c r="H28" s="118">
        <f t="shared" si="0"/>
        <v>0</v>
      </c>
      <c r="I28" s="118">
        <f t="shared" si="1"/>
        <v>0</v>
      </c>
      <c r="J28" s="42"/>
    </row>
    <row r="29" spans="1:10" s="94" customFormat="1" ht="15" customHeight="1">
      <c r="A29" s="119" t="s">
        <v>7</v>
      </c>
      <c r="B29" s="120"/>
      <c r="C29" s="120">
        <v>60016</v>
      </c>
      <c r="D29" s="120"/>
      <c r="E29" s="205">
        <f>SUM(E30:E43)</f>
        <v>534000</v>
      </c>
      <c r="F29" s="127">
        <f>SUM(F30:F43)</f>
        <v>944870</v>
      </c>
      <c r="G29" s="127">
        <f>SUM(G30:G43)</f>
        <v>270945.58</v>
      </c>
      <c r="H29" s="90">
        <f t="shared" si="0"/>
        <v>0.28675434715886844</v>
      </c>
      <c r="I29" s="90">
        <f t="shared" si="1"/>
        <v>0.021857676376963283</v>
      </c>
      <c r="J29" s="122"/>
    </row>
    <row r="30" spans="1:10" s="89" customFormat="1" ht="12.75" hidden="1">
      <c r="A30" s="27" t="s">
        <v>21</v>
      </c>
      <c r="B30" s="18"/>
      <c r="C30" s="18"/>
      <c r="D30" s="28" t="s">
        <v>78</v>
      </c>
      <c r="E30" s="206">
        <v>0</v>
      </c>
      <c r="F30" s="40">
        <v>0</v>
      </c>
      <c r="G30" s="40">
        <v>0</v>
      </c>
      <c r="H30" s="118" t="e">
        <f>G30/F30</f>
        <v>#DIV/0!</v>
      </c>
      <c r="I30" s="227">
        <f t="shared" si="1"/>
        <v>0</v>
      </c>
      <c r="J30" s="42"/>
    </row>
    <row r="31" spans="1:10" s="26" customFormat="1" ht="12.75" hidden="1">
      <c r="A31" s="27" t="s">
        <v>22</v>
      </c>
      <c r="B31" s="18"/>
      <c r="C31" s="18"/>
      <c r="D31" s="28" t="s">
        <v>79</v>
      </c>
      <c r="E31" s="206">
        <v>0</v>
      </c>
      <c r="F31" s="40">
        <v>0</v>
      </c>
      <c r="G31" s="40">
        <v>0</v>
      </c>
      <c r="H31" s="118" t="e">
        <f t="shared" si="0"/>
        <v>#DIV/0!</v>
      </c>
      <c r="I31" s="118">
        <f t="shared" si="1"/>
        <v>0</v>
      </c>
      <c r="J31" s="42"/>
    </row>
    <row r="32" spans="1:10" s="89" customFormat="1" ht="12.75">
      <c r="A32" s="27" t="s">
        <v>159</v>
      </c>
      <c r="B32" s="18"/>
      <c r="C32" s="18"/>
      <c r="D32" s="28" t="s">
        <v>160</v>
      </c>
      <c r="E32" s="206">
        <v>2000</v>
      </c>
      <c r="F32" s="52">
        <v>2000</v>
      </c>
      <c r="G32" s="40">
        <v>584</v>
      </c>
      <c r="H32" s="118">
        <f t="shared" si="0"/>
        <v>0.292</v>
      </c>
      <c r="I32" s="118">
        <f t="shared" si="1"/>
        <v>4.711235003038823E-05</v>
      </c>
      <c r="J32" s="42"/>
    </row>
    <row r="33" spans="1:10" s="26" customFormat="1" ht="12.75">
      <c r="A33" s="17" t="s">
        <v>9</v>
      </c>
      <c r="B33" s="18"/>
      <c r="C33" s="18"/>
      <c r="D33" s="18">
        <v>4210</v>
      </c>
      <c r="E33" s="203">
        <v>50000</v>
      </c>
      <c r="F33" s="52">
        <v>50000</v>
      </c>
      <c r="G33" s="40">
        <v>24244.43</v>
      </c>
      <c r="H33" s="118">
        <f t="shared" si="0"/>
        <v>0.4848886</v>
      </c>
      <c r="I33" s="118">
        <f t="shared" si="1"/>
        <v>0.001955842589806927</v>
      </c>
      <c r="J33" s="42"/>
    </row>
    <row r="34" spans="1:10" s="89" customFormat="1" ht="12.75">
      <c r="A34" s="17" t="s">
        <v>11</v>
      </c>
      <c r="B34" s="18"/>
      <c r="C34" s="18"/>
      <c r="D34" s="18">
        <v>4270</v>
      </c>
      <c r="E34" s="203">
        <v>20000</v>
      </c>
      <c r="F34" s="52">
        <v>16870</v>
      </c>
      <c r="G34" s="40">
        <v>12354.12</v>
      </c>
      <c r="H34" s="118">
        <f t="shared" si="0"/>
        <v>0.732312981624185</v>
      </c>
      <c r="I34" s="118">
        <f t="shared" si="1"/>
        <v>0.0009966294961599657</v>
      </c>
      <c r="J34" s="42"/>
    </row>
    <row r="35" spans="1:10" s="26" customFormat="1" ht="12.75">
      <c r="A35" s="17" t="s">
        <v>12</v>
      </c>
      <c r="B35" s="18"/>
      <c r="C35" s="18"/>
      <c r="D35" s="18">
        <v>4300</v>
      </c>
      <c r="E35" s="203">
        <v>85000</v>
      </c>
      <c r="F35" s="52">
        <v>102900</v>
      </c>
      <c r="G35" s="40">
        <v>73169.3</v>
      </c>
      <c r="H35" s="118">
        <f t="shared" si="0"/>
        <v>0.7110719144800778</v>
      </c>
      <c r="I35" s="118">
        <f t="shared" si="1"/>
        <v>0.005902701494997407</v>
      </c>
      <c r="J35" s="42"/>
    </row>
    <row r="36" spans="1:10" s="26" customFormat="1" ht="25.5" customHeight="1">
      <c r="A36" s="19" t="s">
        <v>323</v>
      </c>
      <c r="B36" s="18"/>
      <c r="C36" s="18"/>
      <c r="D36" s="18" t="s">
        <v>172</v>
      </c>
      <c r="E36" s="203">
        <v>0</v>
      </c>
      <c r="F36" s="52">
        <v>100</v>
      </c>
      <c r="G36" s="40">
        <v>42.8</v>
      </c>
      <c r="H36" s="118">
        <f t="shared" si="0"/>
        <v>0.428</v>
      </c>
      <c r="I36" s="118">
        <f t="shared" si="1"/>
        <v>3.452754420035302E-06</v>
      </c>
      <c r="J36" s="42"/>
    </row>
    <row r="37" spans="1:10" s="26" customFormat="1" ht="25.5" customHeight="1" hidden="1">
      <c r="A37" s="19" t="s">
        <v>205</v>
      </c>
      <c r="B37" s="18"/>
      <c r="C37" s="18"/>
      <c r="D37" s="18" t="s">
        <v>206</v>
      </c>
      <c r="E37" s="203">
        <v>0</v>
      </c>
      <c r="F37" s="52">
        <v>0</v>
      </c>
      <c r="G37" s="40">
        <v>0</v>
      </c>
      <c r="H37" s="118" t="e">
        <f t="shared" si="0"/>
        <v>#DIV/0!</v>
      </c>
      <c r="I37" s="118">
        <f t="shared" si="1"/>
        <v>0</v>
      </c>
      <c r="J37" s="42"/>
    </row>
    <row r="38" spans="1:10" s="26" customFormat="1" ht="12.75">
      <c r="A38" s="27" t="s">
        <v>26</v>
      </c>
      <c r="B38" s="18"/>
      <c r="C38" s="18"/>
      <c r="D38" s="28" t="s">
        <v>89</v>
      </c>
      <c r="E38" s="203">
        <v>2000</v>
      </c>
      <c r="F38" s="52">
        <v>8000</v>
      </c>
      <c r="G38" s="40">
        <v>4000</v>
      </c>
      <c r="H38" s="118">
        <f t="shared" si="0"/>
        <v>0.5</v>
      </c>
      <c r="I38" s="118">
        <f t="shared" si="1"/>
        <v>0.00032268732897526185</v>
      </c>
      <c r="J38" s="42"/>
    </row>
    <row r="39" spans="1:10" s="26" customFormat="1" ht="12.75" hidden="1">
      <c r="A39" s="27" t="s">
        <v>208</v>
      </c>
      <c r="B39" s="18"/>
      <c r="C39" s="18"/>
      <c r="D39" s="28" t="s">
        <v>209</v>
      </c>
      <c r="E39" s="203">
        <v>0</v>
      </c>
      <c r="F39" s="52">
        <v>0</v>
      </c>
      <c r="G39" s="40">
        <v>0</v>
      </c>
      <c r="H39" s="118" t="e">
        <f t="shared" si="0"/>
        <v>#DIV/0!</v>
      </c>
      <c r="I39" s="118">
        <f t="shared" si="1"/>
        <v>0</v>
      </c>
      <c r="J39" s="42"/>
    </row>
    <row r="40" spans="1:10" s="26" customFormat="1" ht="12.75">
      <c r="A40" s="78" t="s">
        <v>87</v>
      </c>
      <c r="B40" s="18"/>
      <c r="C40" s="18"/>
      <c r="D40" s="28" t="s">
        <v>86</v>
      </c>
      <c r="E40" s="203">
        <v>375000</v>
      </c>
      <c r="F40" s="52">
        <v>765000</v>
      </c>
      <c r="G40" s="38">
        <v>156550.93</v>
      </c>
      <c r="H40" s="118">
        <f t="shared" si="0"/>
        <v>0.2046417385620915</v>
      </c>
      <c r="I40" s="118">
        <f t="shared" si="1"/>
        <v>0.012629250362573298</v>
      </c>
      <c r="J40" s="42"/>
    </row>
    <row r="41" spans="1:10" s="26" customFormat="1" ht="12.75" hidden="1">
      <c r="A41" s="78" t="s">
        <v>87</v>
      </c>
      <c r="B41" s="18"/>
      <c r="C41" s="18"/>
      <c r="D41" s="28" t="s">
        <v>256</v>
      </c>
      <c r="E41" s="203">
        <v>0</v>
      </c>
      <c r="F41" s="52">
        <v>0</v>
      </c>
      <c r="G41" s="38">
        <v>0</v>
      </c>
      <c r="H41" s="118" t="e">
        <f t="shared" si="0"/>
        <v>#DIV/0!</v>
      </c>
      <c r="I41" s="118">
        <f t="shared" si="1"/>
        <v>0</v>
      </c>
      <c r="J41" s="42"/>
    </row>
    <row r="42" spans="1:10" s="26" customFormat="1" ht="12.75" hidden="1">
      <c r="A42" s="78" t="s">
        <v>87</v>
      </c>
      <c r="B42" s="18"/>
      <c r="C42" s="18"/>
      <c r="D42" s="28" t="s">
        <v>237</v>
      </c>
      <c r="E42" s="203">
        <v>0</v>
      </c>
      <c r="F42" s="52">
        <v>0</v>
      </c>
      <c r="G42" s="38">
        <v>0</v>
      </c>
      <c r="H42" s="118" t="e">
        <f t="shared" si="0"/>
        <v>#DIV/0!</v>
      </c>
      <c r="I42" s="227">
        <f t="shared" si="1"/>
        <v>0</v>
      </c>
      <c r="J42" s="42"/>
    </row>
    <row r="43" spans="1:10" ht="12.75" customHeight="1" hidden="1">
      <c r="A43" s="29" t="s">
        <v>363</v>
      </c>
      <c r="B43" s="18"/>
      <c r="C43" s="18"/>
      <c r="D43" s="28" t="s">
        <v>144</v>
      </c>
      <c r="E43" s="203">
        <v>0</v>
      </c>
      <c r="F43" s="52">
        <v>0</v>
      </c>
      <c r="G43" s="38">
        <v>0</v>
      </c>
      <c r="H43" s="118" t="e">
        <f t="shared" si="0"/>
        <v>#DIV/0!</v>
      </c>
      <c r="I43" s="118">
        <f t="shared" si="1"/>
        <v>0</v>
      </c>
      <c r="J43" s="42"/>
    </row>
    <row r="44" spans="1:10" s="89" customFormat="1" ht="12.75" customHeight="1">
      <c r="A44" s="87" t="s">
        <v>15</v>
      </c>
      <c r="B44" s="120"/>
      <c r="C44" s="120" t="s">
        <v>523</v>
      </c>
      <c r="D44" s="120"/>
      <c r="E44" s="202">
        <f>E45</f>
        <v>20000</v>
      </c>
      <c r="F44" s="202">
        <f>F45</f>
        <v>36000</v>
      </c>
      <c r="G44" s="202">
        <f>G45</f>
        <v>35782.03</v>
      </c>
      <c r="H44" s="90">
        <f t="shared" si="0"/>
        <v>0.9939452777777777</v>
      </c>
      <c r="I44" s="90">
        <f t="shared" si="1"/>
        <v>0.0028866019215031723</v>
      </c>
      <c r="J44" s="122"/>
    </row>
    <row r="45" spans="1:10" ht="12.75" customHeight="1">
      <c r="A45" s="29" t="s">
        <v>87</v>
      </c>
      <c r="B45" s="18"/>
      <c r="C45" s="18"/>
      <c r="D45" s="28" t="s">
        <v>86</v>
      </c>
      <c r="E45" s="203">
        <v>20000</v>
      </c>
      <c r="F45" s="52">
        <v>36000</v>
      </c>
      <c r="G45" s="38">
        <v>35782.03</v>
      </c>
      <c r="H45" s="118">
        <f t="shared" si="0"/>
        <v>0.9939452777777777</v>
      </c>
      <c r="I45" s="118">
        <f t="shared" si="1"/>
        <v>0.0028866019215031723</v>
      </c>
      <c r="J45" s="42"/>
    </row>
    <row r="46" spans="1:10" ht="18" customHeight="1">
      <c r="A46" s="15" t="s">
        <v>13</v>
      </c>
      <c r="B46" s="16">
        <v>700</v>
      </c>
      <c r="C46" s="16"/>
      <c r="D46" s="16"/>
      <c r="E46" s="201">
        <f>SUM(E47,E65)</f>
        <v>301448</v>
      </c>
      <c r="F46" s="39">
        <f>SUM(F47+F65)</f>
        <v>316448</v>
      </c>
      <c r="G46" s="39">
        <f>SUM(G47+G65)</f>
        <v>127580.89000000001</v>
      </c>
      <c r="H46" s="30">
        <f t="shared" si="0"/>
        <v>0.4031654173829508</v>
      </c>
      <c r="I46" s="30">
        <f t="shared" si="1"/>
        <v>0.010292184155596676</v>
      </c>
      <c r="J46" s="83">
        <v>0</v>
      </c>
    </row>
    <row r="47" spans="1:10" ht="15" customHeight="1">
      <c r="A47" s="119" t="s">
        <v>14</v>
      </c>
      <c r="B47" s="120"/>
      <c r="C47" s="120">
        <v>70005</v>
      </c>
      <c r="D47" s="120"/>
      <c r="E47" s="202">
        <f>SUM(E48:E64)</f>
        <v>301448</v>
      </c>
      <c r="F47" s="123">
        <f>SUM(F48:F64)</f>
        <v>316448</v>
      </c>
      <c r="G47" s="123">
        <f>SUM(G48:G64)</f>
        <v>127580.89000000001</v>
      </c>
      <c r="H47" s="90">
        <f t="shared" si="0"/>
        <v>0.4031654173829508</v>
      </c>
      <c r="I47" s="90">
        <f t="shared" si="1"/>
        <v>0.010292184155596676</v>
      </c>
      <c r="J47" s="121"/>
    </row>
    <row r="48" spans="1:10" ht="12.75">
      <c r="A48" s="27" t="s">
        <v>21</v>
      </c>
      <c r="B48" s="18"/>
      <c r="C48" s="18"/>
      <c r="D48" s="28" t="s">
        <v>78</v>
      </c>
      <c r="E48" s="203">
        <v>275</v>
      </c>
      <c r="F48" s="45">
        <v>275</v>
      </c>
      <c r="G48" s="41">
        <v>115.53</v>
      </c>
      <c r="H48" s="118">
        <f t="shared" si="0"/>
        <v>0.42010909090909093</v>
      </c>
      <c r="I48" s="118">
        <f t="shared" si="1"/>
        <v>9.320016779128E-06</v>
      </c>
      <c r="J48" s="83"/>
    </row>
    <row r="49" spans="1:10" ht="12.75" hidden="1">
      <c r="A49" s="27" t="s">
        <v>22</v>
      </c>
      <c r="B49" s="18"/>
      <c r="C49" s="18"/>
      <c r="D49" s="28" t="s">
        <v>79</v>
      </c>
      <c r="E49" s="203">
        <v>0</v>
      </c>
      <c r="F49" s="45">
        <v>0</v>
      </c>
      <c r="G49" s="41">
        <v>0</v>
      </c>
      <c r="H49" s="118" t="e">
        <f t="shared" si="0"/>
        <v>#DIV/0!</v>
      </c>
      <c r="I49" s="118">
        <f t="shared" si="1"/>
        <v>0</v>
      </c>
      <c r="J49" s="83"/>
    </row>
    <row r="50" spans="1:10" ht="12.75">
      <c r="A50" s="27" t="s">
        <v>195</v>
      </c>
      <c r="B50" s="18"/>
      <c r="C50" s="18"/>
      <c r="D50" s="28" t="s">
        <v>160</v>
      </c>
      <c r="E50" s="203">
        <v>1600</v>
      </c>
      <c r="F50" s="45">
        <v>1600</v>
      </c>
      <c r="G50" s="41">
        <v>768.98</v>
      </c>
      <c r="H50" s="118">
        <f t="shared" si="0"/>
        <v>0.4806125</v>
      </c>
      <c r="I50" s="118">
        <f t="shared" si="1"/>
        <v>6.203502555884922E-05</v>
      </c>
      <c r="J50" s="83"/>
    </row>
    <row r="51" spans="1:10" ht="12.75">
      <c r="A51" s="17" t="s">
        <v>9</v>
      </c>
      <c r="B51" s="18"/>
      <c r="C51" s="18"/>
      <c r="D51" s="18">
        <v>4210</v>
      </c>
      <c r="E51" s="203">
        <v>25000</v>
      </c>
      <c r="F51" s="52">
        <v>26800</v>
      </c>
      <c r="G51" s="38">
        <v>5349.67</v>
      </c>
      <c r="H51" s="118">
        <f t="shared" si="0"/>
        <v>0.19961455223880598</v>
      </c>
      <c r="I51" s="118">
        <f t="shared" si="1"/>
        <v>0.0004315676807997723</v>
      </c>
      <c r="J51" s="83"/>
    </row>
    <row r="52" spans="1:10" s="89" customFormat="1" ht="12.75">
      <c r="A52" s="27" t="s">
        <v>10</v>
      </c>
      <c r="B52" s="18"/>
      <c r="C52" s="18"/>
      <c r="D52" s="28" t="s">
        <v>149</v>
      </c>
      <c r="E52" s="203">
        <v>20000</v>
      </c>
      <c r="F52" s="52">
        <v>20000</v>
      </c>
      <c r="G52" s="38">
        <v>8705.77</v>
      </c>
      <c r="H52" s="118">
        <f t="shared" si="0"/>
        <v>0.4352885</v>
      </c>
      <c r="I52" s="118">
        <f t="shared" si="1"/>
        <v>0.0007023104169932414</v>
      </c>
      <c r="J52" s="83"/>
    </row>
    <row r="53" spans="1:10" ht="12.75">
      <c r="A53" s="27" t="s">
        <v>11</v>
      </c>
      <c r="B53" s="18"/>
      <c r="C53" s="18"/>
      <c r="D53" s="28" t="s">
        <v>132</v>
      </c>
      <c r="E53" s="203">
        <v>40000</v>
      </c>
      <c r="F53" s="52">
        <v>62000</v>
      </c>
      <c r="G53" s="38">
        <v>15871.45</v>
      </c>
      <c r="H53" s="118">
        <f t="shared" si="0"/>
        <v>0.25599112903225807</v>
      </c>
      <c r="I53" s="118">
        <f t="shared" si="1"/>
        <v>0.001280378951866105</v>
      </c>
      <c r="J53" s="83"/>
    </row>
    <row r="54" spans="1:10" ht="12.75">
      <c r="A54" s="17" t="s">
        <v>12</v>
      </c>
      <c r="B54" s="18"/>
      <c r="C54" s="18"/>
      <c r="D54" s="18">
        <v>4300</v>
      </c>
      <c r="E54" s="203">
        <v>79125</v>
      </c>
      <c r="F54" s="52">
        <v>58264</v>
      </c>
      <c r="G54" s="38">
        <v>25485.35</v>
      </c>
      <c r="H54" s="118">
        <f t="shared" si="0"/>
        <v>0.43741160922696687</v>
      </c>
      <c r="I54" s="118">
        <f t="shared" si="1"/>
        <v>0.0020559498798749225</v>
      </c>
      <c r="J54" s="83"/>
    </row>
    <row r="55" spans="1:10" ht="25.5">
      <c r="A55" s="19" t="s">
        <v>323</v>
      </c>
      <c r="B55" s="18"/>
      <c r="C55" s="18"/>
      <c r="D55" s="18" t="s">
        <v>172</v>
      </c>
      <c r="E55" s="203">
        <v>2500</v>
      </c>
      <c r="F55" s="52">
        <v>2500</v>
      </c>
      <c r="G55" s="38">
        <v>514.8</v>
      </c>
      <c r="H55" s="118">
        <f t="shared" si="0"/>
        <v>0.20592</v>
      </c>
      <c r="I55" s="118">
        <f t="shared" si="1"/>
        <v>4.15298592391162E-05</v>
      </c>
      <c r="J55" s="83"/>
    </row>
    <row r="56" spans="1:10" ht="12.75">
      <c r="A56" s="29" t="s">
        <v>394</v>
      </c>
      <c r="B56" s="18"/>
      <c r="C56" s="18"/>
      <c r="D56" s="32" t="s">
        <v>194</v>
      </c>
      <c r="E56" s="203">
        <v>148</v>
      </c>
      <c r="F56" s="52">
        <v>148</v>
      </c>
      <c r="G56" s="38">
        <v>73.8</v>
      </c>
      <c r="H56" s="118">
        <f t="shared" si="0"/>
        <v>0.4986486486486486</v>
      </c>
      <c r="I56" s="118">
        <f t="shared" si="1"/>
        <v>5.953581219593581E-06</v>
      </c>
      <c r="J56" s="83"/>
    </row>
    <row r="57" spans="1:10" ht="12.75">
      <c r="A57" s="50" t="s">
        <v>205</v>
      </c>
      <c r="B57" s="18"/>
      <c r="C57" s="18"/>
      <c r="D57" s="28" t="s">
        <v>206</v>
      </c>
      <c r="E57" s="203">
        <v>0</v>
      </c>
      <c r="F57" s="52">
        <v>861</v>
      </c>
      <c r="G57" s="38">
        <v>861</v>
      </c>
      <c r="H57" s="118">
        <f t="shared" si="0"/>
        <v>1</v>
      </c>
      <c r="I57" s="118">
        <f t="shared" si="1"/>
        <v>6.945844756192511E-05</v>
      </c>
      <c r="J57" s="83"/>
    </row>
    <row r="58" spans="1:10" ht="25.5">
      <c r="A58" s="50" t="s">
        <v>224</v>
      </c>
      <c r="B58" s="18"/>
      <c r="C58" s="18"/>
      <c r="D58" s="28" t="s">
        <v>221</v>
      </c>
      <c r="E58" s="203">
        <v>68000</v>
      </c>
      <c r="F58" s="52">
        <v>68000</v>
      </c>
      <c r="G58" s="38">
        <v>32835.64</v>
      </c>
      <c r="H58" s="118">
        <f t="shared" si="0"/>
        <v>0.4828770588235294</v>
      </c>
      <c r="I58" s="118">
        <f t="shared" si="1"/>
        <v>0.002648911241698317</v>
      </c>
      <c r="J58" s="83"/>
    </row>
    <row r="59" spans="1:10" ht="12.75">
      <c r="A59" s="17" t="s">
        <v>26</v>
      </c>
      <c r="B59" s="18"/>
      <c r="C59" s="18"/>
      <c r="D59" s="18" t="s">
        <v>89</v>
      </c>
      <c r="E59" s="203">
        <v>2800</v>
      </c>
      <c r="F59" s="52">
        <v>4000</v>
      </c>
      <c r="G59" s="38">
        <v>1952.71</v>
      </c>
      <c r="H59" s="118">
        <f t="shared" si="0"/>
        <v>0.4881775</v>
      </c>
      <c r="I59" s="118">
        <f t="shared" si="1"/>
        <v>0.0001575286935408209</v>
      </c>
      <c r="J59" s="83"/>
    </row>
    <row r="60" spans="1:10" ht="12.75">
      <c r="A60" s="78" t="s">
        <v>208</v>
      </c>
      <c r="B60" s="18"/>
      <c r="C60" s="18"/>
      <c r="D60" s="32" t="s">
        <v>209</v>
      </c>
      <c r="E60" s="203">
        <v>9000</v>
      </c>
      <c r="F60" s="52">
        <v>9000</v>
      </c>
      <c r="G60" s="38">
        <v>5075.11</v>
      </c>
      <c r="H60" s="118">
        <f t="shared" si="0"/>
        <v>0.5639011111111111</v>
      </c>
      <c r="I60" s="118">
        <f t="shared" si="1"/>
        <v>0.0004094184225389103</v>
      </c>
      <c r="J60" s="83"/>
    </row>
    <row r="61" spans="1:10" ht="12.75">
      <c r="A61" s="31" t="s">
        <v>309</v>
      </c>
      <c r="B61" s="18"/>
      <c r="C61" s="18"/>
      <c r="D61" s="32" t="s">
        <v>312</v>
      </c>
      <c r="E61" s="203">
        <v>24000</v>
      </c>
      <c r="F61" s="52">
        <v>24000</v>
      </c>
      <c r="G61" s="38">
        <v>11647</v>
      </c>
      <c r="H61" s="118">
        <f t="shared" si="0"/>
        <v>0.4852916666666667</v>
      </c>
      <c r="I61" s="118">
        <f t="shared" si="1"/>
        <v>0.0009395848301437188</v>
      </c>
      <c r="J61" s="83"/>
    </row>
    <row r="62" spans="1:10" ht="12.75">
      <c r="A62" s="27" t="s">
        <v>90</v>
      </c>
      <c r="B62" s="18"/>
      <c r="C62" s="18"/>
      <c r="D62" s="28" t="s">
        <v>91</v>
      </c>
      <c r="E62" s="203">
        <v>4000</v>
      </c>
      <c r="F62" s="52">
        <v>4000</v>
      </c>
      <c r="G62" s="38">
        <v>59.1</v>
      </c>
      <c r="H62" s="118">
        <f t="shared" si="0"/>
        <v>0.014775</v>
      </c>
      <c r="I62" s="118">
        <f t="shared" si="1"/>
        <v>4.767705285609494E-06</v>
      </c>
      <c r="J62" s="83"/>
    </row>
    <row r="63" spans="1:10" ht="12.75">
      <c r="A63" s="27" t="s">
        <v>87</v>
      </c>
      <c r="B63" s="18"/>
      <c r="C63" s="18"/>
      <c r="D63" s="28" t="s">
        <v>86</v>
      </c>
      <c r="E63" s="203">
        <v>25000</v>
      </c>
      <c r="F63" s="52">
        <v>35000</v>
      </c>
      <c r="G63" s="38">
        <v>18264.98</v>
      </c>
      <c r="H63" s="118">
        <f t="shared" si="0"/>
        <v>0.5218565714285714</v>
      </c>
      <c r="I63" s="118">
        <f t="shared" si="1"/>
        <v>0.0014734694024966446</v>
      </c>
      <c r="J63" s="83"/>
    </row>
    <row r="64" spans="1:10" ht="12.75" customHeight="1" hidden="1">
      <c r="A64" s="29" t="s">
        <v>363</v>
      </c>
      <c r="B64" s="18"/>
      <c r="C64" s="18"/>
      <c r="D64" s="28" t="s">
        <v>144</v>
      </c>
      <c r="E64" s="203">
        <v>0</v>
      </c>
      <c r="F64" s="52">
        <v>0</v>
      </c>
      <c r="G64" s="38">
        <v>0</v>
      </c>
      <c r="H64" s="118" t="e">
        <f t="shared" si="0"/>
        <v>#DIV/0!</v>
      </c>
      <c r="I64" s="227">
        <f t="shared" si="1"/>
        <v>0</v>
      </c>
      <c r="J64" s="83"/>
    </row>
    <row r="65" spans="1:10" ht="12.75" hidden="1">
      <c r="A65" s="27" t="s">
        <v>249</v>
      </c>
      <c r="B65" s="18"/>
      <c r="C65" s="32" t="s">
        <v>251</v>
      </c>
      <c r="D65" s="28"/>
      <c r="E65" s="203">
        <v>0</v>
      </c>
      <c r="F65" s="52">
        <v>0</v>
      </c>
      <c r="G65" s="38">
        <f>G66</f>
        <v>0</v>
      </c>
      <c r="H65" s="118" t="e">
        <f t="shared" si="0"/>
        <v>#DIV/0!</v>
      </c>
      <c r="I65" s="118">
        <f t="shared" si="1"/>
        <v>0</v>
      </c>
      <c r="J65" s="83"/>
    </row>
    <row r="66" spans="1:10" ht="25.5" hidden="1">
      <c r="A66" s="29" t="s">
        <v>250</v>
      </c>
      <c r="B66" s="18"/>
      <c r="C66" s="18"/>
      <c r="D66" s="32" t="s">
        <v>252</v>
      </c>
      <c r="E66" s="203">
        <v>0</v>
      </c>
      <c r="F66" s="52">
        <v>0</v>
      </c>
      <c r="G66" s="38">
        <v>0</v>
      </c>
      <c r="H66" s="118" t="e">
        <f t="shared" si="0"/>
        <v>#DIV/0!</v>
      </c>
      <c r="I66" s="227">
        <f t="shared" si="1"/>
        <v>0</v>
      </c>
      <c r="J66" s="83"/>
    </row>
    <row r="67" spans="1:10" ht="18" customHeight="1">
      <c r="A67" s="66" t="s">
        <v>225</v>
      </c>
      <c r="B67" s="47" t="s">
        <v>227</v>
      </c>
      <c r="C67" s="47"/>
      <c r="D67" s="47"/>
      <c r="E67" s="204">
        <f>SUM(E68,E73)</f>
        <v>16850</v>
      </c>
      <c r="F67" s="48">
        <f>SUM(F68,F73)</f>
        <v>16850</v>
      </c>
      <c r="G67" s="48">
        <f>SUM(G68,G73)</f>
        <v>1180.8</v>
      </c>
      <c r="H67" s="30">
        <f t="shared" si="0"/>
        <v>0.07007715133531157</v>
      </c>
      <c r="I67" s="30">
        <f t="shared" si="1"/>
        <v>9.52572995134973E-05</v>
      </c>
      <c r="J67" s="83">
        <f>G67/7232332.21</f>
        <v>0.00016326683643864306</v>
      </c>
    </row>
    <row r="68" spans="1:10" ht="15" customHeight="1">
      <c r="A68" s="87" t="s">
        <v>226</v>
      </c>
      <c r="B68" s="120"/>
      <c r="C68" s="120" t="s">
        <v>228</v>
      </c>
      <c r="D68" s="120"/>
      <c r="E68" s="202">
        <f>SUM(E69:E72)</f>
        <v>16850</v>
      </c>
      <c r="F68" s="121">
        <f>F71+F69+F70+F72</f>
        <v>16850</v>
      </c>
      <c r="G68" s="121">
        <f>G71+G69+G70+G72</f>
        <v>1180.8</v>
      </c>
      <c r="H68" s="90">
        <f t="shared" si="0"/>
        <v>0.07007715133531157</v>
      </c>
      <c r="I68" s="90">
        <f t="shared" si="1"/>
        <v>9.52572995134973E-05</v>
      </c>
      <c r="J68" s="121"/>
    </row>
    <row r="69" spans="1:10" ht="38.25">
      <c r="A69" s="29" t="s">
        <v>514</v>
      </c>
      <c r="B69" s="28"/>
      <c r="C69" s="28"/>
      <c r="D69" s="28" t="s">
        <v>94</v>
      </c>
      <c r="E69" s="200">
        <v>1850</v>
      </c>
      <c r="F69" s="38">
        <v>1850</v>
      </c>
      <c r="G69" s="38">
        <v>0</v>
      </c>
      <c r="H69" s="118">
        <f t="shared" si="0"/>
        <v>0</v>
      </c>
      <c r="I69" s="118">
        <f aca="true" t="shared" si="2" ref="I69:I132">G69/12395900.43</f>
        <v>0</v>
      </c>
      <c r="J69" s="38"/>
    </row>
    <row r="70" spans="1:10" ht="12.75">
      <c r="A70" s="29" t="s">
        <v>12</v>
      </c>
      <c r="B70" s="18"/>
      <c r="C70" s="18"/>
      <c r="D70" s="28" t="s">
        <v>76</v>
      </c>
      <c r="E70" s="203">
        <v>15000</v>
      </c>
      <c r="F70" s="38">
        <v>15000</v>
      </c>
      <c r="G70" s="38">
        <v>1180.8</v>
      </c>
      <c r="H70" s="118">
        <f t="shared" si="0"/>
        <v>0.07872</v>
      </c>
      <c r="I70" s="118">
        <f t="shared" si="2"/>
        <v>9.52572995134973E-05</v>
      </c>
      <c r="J70" s="38"/>
    </row>
    <row r="71" spans="1:10" s="89" customFormat="1" ht="25.5" hidden="1">
      <c r="A71" s="29" t="s">
        <v>345</v>
      </c>
      <c r="B71" s="18"/>
      <c r="C71" s="18"/>
      <c r="D71" s="28" t="s">
        <v>172</v>
      </c>
      <c r="E71" s="203">
        <v>0</v>
      </c>
      <c r="F71" s="149">
        <v>0</v>
      </c>
      <c r="G71" s="38">
        <v>0</v>
      </c>
      <c r="H71" s="118" t="e">
        <f t="shared" si="0"/>
        <v>#DIV/0!</v>
      </c>
      <c r="I71" s="118">
        <f t="shared" si="2"/>
        <v>0</v>
      </c>
      <c r="J71" s="83"/>
    </row>
    <row r="72" spans="1:10" s="89" customFormat="1" ht="12.75" hidden="1">
      <c r="A72" s="29" t="s">
        <v>205</v>
      </c>
      <c r="B72" s="18"/>
      <c r="C72" s="18"/>
      <c r="D72" s="28" t="s">
        <v>206</v>
      </c>
      <c r="E72" s="203">
        <v>0</v>
      </c>
      <c r="F72" s="149">
        <v>0</v>
      </c>
      <c r="G72" s="38">
        <v>0</v>
      </c>
      <c r="H72" s="118" t="e">
        <f t="shared" si="0"/>
        <v>#DIV/0!</v>
      </c>
      <c r="I72" s="227">
        <f t="shared" si="2"/>
        <v>0</v>
      </c>
      <c r="J72" s="83"/>
    </row>
    <row r="73" spans="1:10" s="191" customFormat="1" ht="15" customHeight="1" hidden="1">
      <c r="A73" s="87" t="s">
        <v>378</v>
      </c>
      <c r="B73" s="120"/>
      <c r="C73" s="120" t="s">
        <v>377</v>
      </c>
      <c r="D73" s="120"/>
      <c r="E73" s="202">
        <f>SUM(E76)</f>
        <v>0</v>
      </c>
      <c r="F73" s="192">
        <f>F76+F75+F74</f>
        <v>0</v>
      </c>
      <c r="G73" s="121">
        <f>G76+G75+G74</f>
        <v>0</v>
      </c>
      <c r="H73" s="90" t="e">
        <f t="shared" si="0"/>
        <v>#DIV/0!</v>
      </c>
      <c r="I73" s="118">
        <f t="shared" si="2"/>
        <v>0</v>
      </c>
      <c r="J73" s="121"/>
    </row>
    <row r="74" spans="1:10" s="191" customFormat="1" ht="15" customHeight="1" hidden="1">
      <c r="A74" s="29" t="s">
        <v>323</v>
      </c>
      <c r="B74" s="120"/>
      <c r="C74" s="120"/>
      <c r="D74" s="28" t="s">
        <v>172</v>
      </c>
      <c r="E74" s="200">
        <v>0</v>
      </c>
      <c r="F74" s="149">
        <v>0</v>
      </c>
      <c r="G74" s="38">
        <v>0</v>
      </c>
      <c r="H74" s="118" t="e">
        <f>F74/G74</f>
        <v>#DIV/0!</v>
      </c>
      <c r="I74" s="227">
        <f t="shared" si="2"/>
        <v>0</v>
      </c>
      <c r="J74" s="121"/>
    </row>
    <row r="75" spans="1:10" s="191" customFormat="1" ht="15" customHeight="1" hidden="1">
      <c r="A75" s="29" t="s">
        <v>205</v>
      </c>
      <c r="B75" s="120"/>
      <c r="C75" s="120"/>
      <c r="D75" s="28" t="s">
        <v>206</v>
      </c>
      <c r="E75" s="200">
        <v>0</v>
      </c>
      <c r="F75" s="149">
        <v>0</v>
      </c>
      <c r="G75" s="38">
        <v>0</v>
      </c>
      <c r="H75" s="118" t="e">
        <f>F75/G75</f>
        <v>#DIV/0!</v>
      </c>
      <c r="I75" s="118">
        <f t="shared" si="2"/>
        <v>0</v>
      </c>
      <c r="J75" s="121"/>
    </row>
    <row r="76" spans="1:10" s="94" customFormat="1" ht="12.75" hidden="1">
      <c r="A76" s="29" t="s">
        <v>87</v>
      </c>
      <c r="B76" s="18"/>
      <c r="C76" s="18"/>
      <c r="D76" s="28" t="s">
        <v>86</v>
      </c>
      <c r="E76" s="203">
        <v>0</v>
      </c>
      <c r="F76" s="149">
        <v>0</v>
      </c>
      <c r="G76" s="38">
        <v>0</v>
      </c>
      <c r="H76" s="118" t="e">
        <f t="shared" si="0"/>
        <v>#DIV/0!</v>
      </c>
      <c r="I76" s="227">
        <f t="shared" si="2"/>
        <v>0</v>
      </c>
      <c r="J76" s="83"/>
    </row>
    <row r="77" spans="1:10" s="94" customFormat="1" ht="18" customHeight="1">
      <c r="A77" s="79" t="s">
        <v>271</v>
      </c>
      <c r="B77" s="80" t="s">
        <v>272</v>
      </c>
      <c r="C77" s="80"/>
      <c r="D77" s="80"/>
      <c r="E77" s="207">
        <f>E78</f>
        <v>2000</v>
      </c>
      <c r="F77" s="150">
        <f>F78</f>
        <v>2000</v>
      </c>
      <c r="G77" s="150">
        <f>G78</f>
        <v>439.76</v>
      </c>
      <c r="H77" s="30">
        <f t="shared" si="0"/>
        <v>0.21988</v>
      </c>
      <c r="I77" s="30">
        <f t="shared" si="2"/>
        <v>3.547624494754029E-05</v>
      </c>
      <c r="J77" s="83"/>
    </row>
    <row r="78" spans="1:10" s="89" customFormat="1" ht="15" customHeight="1">
      <c r="A78" s="87" t="s">
        <v>15</v>
      </c>
      <c r="B78" s="120"/>
      <c r="C78" s="120" t="s">
        <v>273</v>
      </c>
      <c r="D78" s="120"/>
      <c r="E78" s="202">
        <f>SUM(E79:E82)</f>
        <v>2000</v>
      </c>
      <c r="F78" s="123">
        <f>SUM(F79:F82)</f>
        <v>2000</v>
      </c>
      <c r="G78" s="123">
        <f>SUM(G79:G82)</f>
        <v>439.76</v>
      </c>
      <c r="H78" s="90">
        <f t="shared" si="0"/>
        <v>0.21988</v>
      </c>
      <c r="I78" s="90">
        <f t="shared" si="2"/>
        <v>3.547624494754029E-05</v>
      </c>
      <c r="J78" s="121"/>
    </row>
    <row r="79" spans="1:10" s="94" customFormat="1" ht="12.75" hidden="1">
      <c r="A79" s="29" t="s">
        <v>10</v>
      </c>
      <c r="B79" s="28"/>
      <c r="C79" s="28"/>
      <c r="D79" s="28" t="s">
        <v>149</v>
      </c>
      <c r="E79" s="200">
        <v>0</v>
      </c>
      <c r="F79" s="41">
        <v>0</v>
      </c>
      <c r="G79" s="193">
        <v>0</v>
      </c>
      <c r="H79" s="118" t="e">
        <f t="shared" si="0"/>
        <v>#DIV/0!</v>
      </c>
      <c r="I79" s="118">
        <f t="shared" si="2"/>
        <v>0</v>
      </c>
      <c r="J79" s="38"/>
    </row>
    <row r="80" spans="1:10" s="49" customFormat="1" ht="12.75">
      <c r="A80" s="29" t="s">
        <v>12</v>
      </c>
      <c r="B80" s="120"/>
      <c r="C80" s="120"/>
      <c r="D80" s="28" t="s">
        <v>76</v>
      </c>
      <c r="E80" s="200">
        <v>2000</v>
      </c>
      <c r="F80" s="41">
        <v>2000</v>
      </c>
      <c r="G80" s="193">
        <v>439.76</v>
      </c>
      <c r="H80" s="118">
        <f t="shared" si="0"/>
        <v>0.21988</v>
      </c>
      <c r="I80" s="118">
        <f t="shared" si="2"/>
        <v>3.547624494754029E-05</v>
      </c>
      <c r="J80" s="121"/>
    </row>
    <row r="81" spans="1:10" s="49" customFormat="1" ht="12.75" hidden="1">
      <c r="A81" s="17" t="s">
        <v>12</v>
      </c>
      <c r="B81" s="143"/>
      <c r="C81" s="143"/>
      <c r="D81" s="28" t="s">
        <v>236</v>
      </c>
      <c r="E81" s="200">
        <v>0</v>
      </c>
      <c r="F81" s="38">
        <v>0</v>
      </c>
      <c r="G81" s="38">
        <v>0</v>
      </c>
      <c r="H81" s="118"/>
      <c r="I81" s="118">
        <f t="shared" si="2"/>
        <v>0</v>
      </c>
      <c r="J81" s="121"/>
    </row>
    <row r="82" spans="1:10" ht="12.75" hidden="1">
      <c r="A82" s="29" t="s">
        <v>87</v>
      </c>
      <c r="B82" s="18"/>
      <c r="C82" s="18"/>
      <c r="D82" s="28" t="s">
        <v>237</v>
      </c>
      <c r="E82" s="203">
        <v>0</v>
      </c>
      <c r="F82" s="52">
        <v>0</v>
      </c>
      <c r="G82" s="38">
        <v>0</v>
      </c>
      <c r="H82" s="118" t="e">
        <f t="shared" si="0"/>
        <v>#DIV/0!</v>
      </c>
      <c r="I82" s="227">
        <f t="shared" si="2"/>
        <v>0</v>
      </c>
      <c r="J82" s="83"/>
    </row>
    <row r="83" spans="1:10" s="103" customFormat="1" ht="18" customHeight="1">
      <c r="A83" s="15" t="s">
        <v>17</v>
      </c>
      <c r="B83" s="16">
        <v>750</v>
      </c>
      <c r="C83" s="16"/>
      <c r="D83" s="16"/>
      <c r="E83" s="201">
        <f>SUM(E84,E99,E105,E145,E136,E143)</f>
        <v>2358649</v>
      </c>
      <c r="F83" s="39">
        <f>SUM(F84,F99,F105,F136,F145)</f>
        <v>2353213</v>
      </c>
      <c r="G83" s="39">
        <f>SUM(G84,G99,G105,G145,G136)</f>
        <v>1177125.9100000001</v>
      </c>
      <c r="H83" s="30">
        <f t="shared" si="0"/>
        <v>0.5002207237508888</v>
      </c>
      <c r="I83" s="30">
        <f t="shared" si="2"/>
        <v>0.09496090394136864</v>
      </c>
      <c r="J83" s="83">
        <v>0</v>
      </c>
    </row>
    <row r="84" spans="1:10" s="103" customFormat="1" ht="15" customHeight="1">
      <c r="A84" s="119" t="s">
        <v>18</v>
      </c>
      <c r="B84" s="120"/>
      <c r="C84" s="120">
        <v>75011</v>
      </c>
      <c r="D84" s="120"/>
      <c r="E84" s="202">
        <f>SUM(E85:E98)</f>
        <v>159532</v>
      </c>
      <c r="F84" s="123">
        <f>SUM(F85:F98)</f>
        <v>162232</v>
      </c>
      <c r="G84" s="123">
        <f>SUM(G85:G98)</f>
        <v>82151.23000000001</v>
      </c>
      <c r="H84" s="90">
        <f t="shared" si="0"/>
        <v>0.5063811701760442</v>
      </c>
      <c r="I84" s="90">
        <f t="shared" si="2"/>
        <v>0.006627290245183101</v>
      </c>
      <c r="J84" s="122"/>
    </row>
    <row r="85" spans="1:10" s="49" customFormat="1" ht="12.75">
      <c r="A85" s="78" t="s">
        <v>270</v>
      </c>
      <c r="B85" s="18"/>
      <c r="C85" s="18"/>
      <c r="D85" s="28" t="s">
        <v>95</v>
      </c>
      <c r="E85" s="203">
        <v>300</v>
      </c>
      <c r="F85" s="45">
        <v>300</v>
      </c>
      <c r="G85" s="41">
        <v>57.73</v>
      </c>
      <c r="H85" s="118">
        <f t="shared" si="0"/>
        <v>0.19243333333333332</v>
      </c>
      <c r="I85" s="118">
        <f t="shared" si="2"/>
        <v>4.657184875435467E-06</v>
      </c>
      <c r="J85" s="42"/>
    </row>
    <row r="86" spans="1:10" ht="12.75">
      <c r="A86" s="17" t="s">
        <v>19</v>
      </c>
      <c r="B86" s="18"/>
      <c r="C86" s="18"/>
      <c r="D86" s="18">
        <v>4010</v>
      </c>
      <c r="E86" s="203">
        <v>111990</v>
      </c>
      <c r="F86" s="52">
        <v>111990.26</v>
      </c>
      <c r="G86" s="38">
        <v>52417.63</v>
      </c>
      <c r="H86" s="118">
        <f t="shared" si="0"/>
        <v>0.468055257662586</v>
      </c>
      <c r="I86" s="118">
        <f t="shared" si="2"/>
        <v>0.004228626253978389</v>
      </c>
      <c r="J86" s="42"/>
    </row>
    <row r="87" spans="1:10" s="89" customFormat="1" ht="12.75">
      <c r="A87" s="17" t="s">
        <v>20</v>
      </c>
      <c r="B87" s="18"/>
      <c r="C87" s="18"/>
      <c r="D87" s="18">
        <v>4040</v>
      </c>
      <c r="E87" s="203">
        <v>9047</v>
      </c>
      <c r="F87" s="52">
        <v>9046.74</v>
      </c>
      <c r="G87" s="38">
        <v>9046.54</v>
      </c>
      <c r="H87" s="118">
        <f t="shared" si="0"/>
        <v>0.9999778925889327</v>
      </c>
      <c r="I87" s="118">
        <f t="shared" si="2"/>
        <v>0.0007298009572669665</v>
      </c>
      <c r="J87" s="42"/>
    </row>
    <row r="88" spans="1:10" ht="12.75">
      <c r="A88" s="17" t="s">
        <v>21</v>
      </c>
      <c r="B88" s="18"/>
      <c r="C88" s="18"/>
      <c r="D88" s="18">
        <v>4110</v>
      </c>
      <c r="E88" s="203">
        <v>20807</v>
      </c>
      <c r="F88" s="52">
        <v>20807</v>
      </c>
      <c r="G88" s="38">
        <v>9464.65</v>
      </c>
      <c r="H88" s="118">
        <f aca="true" t="shared" si="3" ref="H88:H144">G88/F88</f>
        <v>0.4548781660018263</v>
      </c>
      <c r="I88" s="118">
        <f t="shared" si="2"/>
        <v>0.000763530657046428</v>
      </c>
      <c r="J88" s="42"/>
    </row>
    <row r="89" spans="1:10" ht="12.75">
      <c r="A89" s="17" t="s">
        <v>22</v>
      </c>
      <c r="B89" s="18"/>
      <c r="C89" s="18"/>
      <c r="D89" s="18">
        <v>4120</v>
      </c>
      <c r="E89" s="203">
        <v>2926</v>
      </c>
      <c r="F89" s="52">
        <v>2926</v>
      </c>
      <c r="G89" s="38">
        <v>1309.21</v>
      </c>
      <c r="H89" s="118">
        <f t="shared" si="3"/>
        <v>0.4474401913875598</v>
      </c>
      <c r="I89" s="118">
        <f t="shared" si="2"/>
        <v>0.00010561636949192565</v>
      </c>
      <c r="J89" s="42"/>
    </row>
    <row r="90" spans="1:10" ht="12.75">
      <c r="A90" s="27" t="s">
        <v>159</v>
      </c>
      <c r="B90" s="18"/>
      <c r="C90" s="18"/>
      <c r="D90" s="28" t="s">
        <v>160</v>
      </c>
      <c r="E90" s="203">
        <v>300</v>
      </c>
      <c r="F90" s="52">
        <v>300</v>
      </c>
      <c r="G90" s="38">
        <v>0</v>
      </c>
      <c r="H90" s="118">
        <f t="shared" si="3"/>
        <v>0</v>
      </c>
      <c r="I90" s="118">
        <f t="shared" si="2"/>
        <v>0</v>
      </c>
      <c r="J90" s="42"/>
    </row>
    <row r="91" spans="1:10" ht="12.75">
      <c r="A91" s="17" t="s">
        <v>9</v>
      </c>
      <c r="B91" s="18"/>
      <c r="C91" s="18"/>
      <c r="D91" s="18" t="s">
        <v>80</v>
      </c>
      <c r="E91" s="203">
        <v>5000</v>
      </c>
      <c r="F91" s="52">
        <v>7700</v>
      </c>
      <c r="G91" s="38">
        <v>4213.39</v>
      </c>
      <c r="H91" s="118">
        <f t="shared" si="3"/>
        <v>0.5471935064935065</v>
      </c>
      <c r="I91" s="118">
        <f t="shared" si="2"/>
        <v>0.00033990189125776966</v>
      </c>
      <c r="J91" s="42"/>
    </row>
    <row r="92" spans="1:10" ht="12.75" hidden="1">
      <c r="A92" s="17" t="s">
        <v>11</v>
      </c>
      <c r="B92" s="18"/>
      <c r="C92" s="18"/>
      <c r="D92" s="18" t="s">
        <v>132</v>
      </c>
      <c r="E92" s="203">
        <v>0</v>
      </c>
      <c r="F92" s="52">
        <v>0</v>
      </c>
      <c r="G92" s="38">
        <v>0</v>
      </c>
      <c r="H92" s="118"/>
      <c r="I92" s="118">
        <f t="shared" si="2"/>
        <v>0</v>
      </c>
      <c r="J92" s="42"/>
    </row>
    <row r="93" spans="1:10" ht="12.75">
      <c r="A93" s="27" t="s">
        <v>45</v>
      </c>
      <c r="B93" s="18"/>
      <c r="C93" s="18"/>
      <c r="D93" s="28" t="s">
        <v>134</v>
      </c>
      <c r="E93" s="203">
        <v>200</v>
      </c>
      <c r="F93" s="52">
        <v>200</v>
      </c>
      <c r="G93" s="38">
        <v>0</v>
      </c>
      <c r="H93" s="118">
        <f t="shared" si="3"/>
        <v>0</v>
      </c>
      <c r="I93" s="118">
        <f t="shared" si="2"/>
        <v>0</v>
      </c>
      <c r="J93" s="42"/>
    </row>
    <row r="94" spans="1:10" ht="12.75">
      <c r="A94" s="27" t="s">
        <v>12</v>
      </c>
      <c r="B94" s="18"/>
      <c r="C94" s="18"/>
      <c r="D94" s="28" t="s">
        <v>76</v>
      </c>
      <c r="E94" s="203">
        <v>5000</v>
      </c>
      <c r="F94" s="52">
        <v>5000</v>
      </c>
      <c r="G94" s="38">
        <v>3270.76</v>
      </c>
      <c r="H94" s="118">
        <f t="shared" si="3"/>
        <v>0.6541520000000001</v>
      </c>
      <c r="I94" s="118">
        <f t="shared" si="2"/>
        <v>0.0002638582020297819</v>
      </c>
      <c r="J94" s="42"/>
    </row>
    <row r="95" spans="1:10" ht="12.75">
      <c r="A95" s="27" t="s">
        <v>346</v>
      </c>
      <c r="B95" s="18"/>
      <c r="C95" s="18"/>
      <c r="D95" s="28" t="s">
        <v>347</v>
      </c>
      <c r="E95" s="203">
        <v>300</v>
      </c>
      <c r="F95" s="52">
        <v>300</v>
      </c>
      <c r="G95" s="38">
        <v>0</v>
      </c>
      <c r="H95" s="118">
        <f t="shared" si="3"/>
        <v>0</v>
      </c>
      <c r="I95" s="118">
        <f t="shared" si="2"/>
        <v>0</v>
      </c>
      <c r="J95" s="42"/>
    </row>
    <row r="96" spans="1:10" ht="12.75" hidden="1">
      <c r="A96" s="27" t="s">
        <v>25</v>
      </c>
      <c r="B96" s="18"/>
      <c r="C96" s="18"/>
      <c r="D96" s="28" t="s">
        <v>81</v>
      </c>
      <c r="E96" s="203">
        <v>0</v>
      </c>
      <c r="F96" s="52">
        <v>0</v>
      </c>
      <c r="G96" s="38">
        <v>0</v>
      </c>
      <c r="H96" s="118" t="e">
        <f t="shared" si="3"/>
        <v>#DIV/0!</v>
      </c>
      <c r="I96" s="118">
        <f t="shared" si="2"/>
        <v>0</v>
      </c>
      <c r="J96" s="42"/>
    </row>
    <row r="97" spans="1:10" ht="12.75">
      <c r="A97" s="29" t="s">
        <v>316</v>
      </c>
      <c r="B97" s="18"/>
      <c r="C97" s="18"/>
      <c r="D97" s="18">
        <v>4440</v>
      </c>
      <c r="E97" s="203">
        <v>3162</v>
      </c>
      <c r="F97" s="52">
        <v>3162</v>
      </c>
      <c r="G97" s="38">
        <v>2371.32</v>
      </c>
      <c r="H97" s="118">
        <f t="shared" si="3"/>
        <v>0.7499430740037951</v>
      </c>
      <c r="I97" s="118">
        <f t="shared" si="2"/>
        <v>0.0001912987292364045</v>
      </c>
      <c r="J97" s="42"/>
    </row>
    <row r="98" spans="1:10" ht="25.5">
      <c r="A98" s="29" t="s">
        <v>207</v>
      </c>
      <c r="B98" s="18"/>
      <c r="C98" s="18"/>
      <c r="D98" s="28" t="s">
        <v>193</v>
      </c>
      <c r="E98" s="203">
        <v>500</v>
      </c>
      <c r="F98" s="52">
        <v>500</v>
      </c>
      <c r="G98" s="38">
        <v>0</v>
      </c>
      <c r="H98" s="118">
        <f t="shared" si="3"/>
        <v>0</v>
      </c>
      <c r="I98" s="118">
        <f t="shared" si="2"/>
        <v>0</v>
      </c>
      <c r="J98" s="42"/>
    </row>
    <row r="99" spans="1:10" ht="15" customHeight="1">
      <c r="A99" s="119" t="s">
        <v>313</v>
      </c>
      <c r="B99" s="120"/>
      <c r="C99" s="120">
        <v>75022</v>
      </c>
      <c r="D99" s="120"/>
      <c r="E99" s="202">
        <f>SUM(E100:E104)</f>
        <v>97362</v>
      </c>
      <c r="F99" s="123">
        <f>SUM(F100:F104)</f>
        <v>98532</v>
      </c>
      <c r="G99" s="123">
        <f>SUM(G100:G104)</f>
        <v>50001.44</v>
      </c>
      <c r="H99" s="90">
        <f t="shared" si="3"/>
        <v>0.5074639710956846</v>
      </c>
      <c r="I99" s="90">
        <f t="shared" si="2"/>
        <v>0.004033707779629205</v>
      </c>
      <c r="J99" s="122"/>
    </row>
    <row r="100" spans="1:10" ht="12.75">
      <c r="A100" s="17" t="s">
        <v>23</v>
      </c>
      <c r="B100" s="18"/>
      <c r="C100" s="18"/>
      <c r="D100" s="18">
        <v>3030</v>
      </c>
      <c r="E100" s="203">
        <v>95238</v>
      </c>
      <c r="F100" s="52">
        <v>95238</v>
      </c>
      <c r="G100" s="38">
        <v>47920</v>
      </c>
      <c r="H100" s="118">
        <f t="shared" si="3"/>
        <v>0.5031605031605032</v>
      </c>
      <c r="I100" s="118">
        <f t="shared" si="2"/>
        <v>0.0038657942011236374</v>
      </c>
      <c r="J100" s="42"/>
    </row>
    <row r="101" spans="1:10" ht="12.75">
      <c r="A101" s="17" t="s">
        <v>9</v>
      </c>
      <c r="B101" s="18"/>
      <c r="C101" s="18"/>
      <c r="D101" s="18">
        <v>4210</v>
      </c>
      <c r="E101" s="203">
        <v>400</v>
      </c>
      <c r="F101" s="52">
        <v>1400</v>
      </c>
      <c r="G101" s="38">
        <v>1062.38</v>
      </c>
      <c r="H101" s="118">
        <f t="shared" si="3"/>
        <v>0.7588428571428573</v>
      </c>
      <c r="I101" s="118">
        <f t="shared" si="2"/>
        <v>8.570414113918468E-05</v>
      </c>
      <c r="J101" s="42"/>
    </row>
    <row r="102" spans="1:10" ht="12.75">
      <c r="A102" s="17" t="s">
        <v>57</v>
      </c>
      <c r="B102" s="18"/>
      <c r="C102" s="18"/>
      <c r="D102" s="18" t="s">
        <v>135</v>
      </c>
      <c r="E102" s="203">
        <v>800</v>
      </c>
      <c r="F102" s="52">
        <v>774</v>
      </c>
      <c r="G102" s="38">
        <v>412.4</v>
      </c>
      <c r="H102" s="118">
        <f t="shared" si="3"/>
        <v>0.5328165374677002</v>
      </c>
      <c r="I102" s="118">
        <f t="shared" si="2"/>
        <v>3.3269063617349496E-05</v>
      </c>
      <c r="J102" s="42"/>
    </row>
    <row r="103" spans="1:10" s="89" customFormat="1" ht="12.75">
      <c r="A103" s="17" t="s">
        <v>12</v>
      </c>
      <c r="B103" s="18"/>
      <c r="C103" s="18"/>
      <c r="D103" s="18" t="s">
        <v>76</v>
      </c>
      <c r="E103" s="203">
        <v>200</v>
      </c>
      <c r="F103" s="52">
        <v>370</v>
      </c>
      <c r="G103" s="38">
        <v>231.5</v>
      </c>
      <c r="H103" s="118">
        <f t="shared" si="3"/>
        <v>0.6256756756756757</v>
      </c>
      <c r="I103" s="118">
        <f t="shared" si="2"/>
        <v>1.867552916444328E-05</v>
      </c>
      <c r="J103" s="42"/>
    </row>
    <row r="104" spans="1:10" ht="12.75">
      <c r="A104" s="29" t="s">
        <v>394</v>
      </c>
      <c r="B104" s="18"/>
      <c r="C104" s="18"/>
      <c r="D104" s="28" t="s">
        <v>194</v>
      </c>
      <c r="E104" s="203">
        <v>724</v>
      </c>
      <c r="F104" s="52">
        <v>750</v>
      </c>
      <c r="G104" s="38">
        <v>375.16</v>
      </c>
      <c r="H104" s="118">
        <f t="shared" si="3"/>
        <v>0.5002133333333334</v>
      </c>
      <c r="I104" s="118">
        <f t="shared" si="2"/>
        <v>3.0264844584589813E-05</v>
      </c>
      <c r="J104" s="42"/>
    </row>
    <row r="105" spans="1:10" ht="15" customHeight="1">
      <c r="A105" s="119" t="s">
        <v>332</v>
      </c>
      <c r="B105" s="120"/>
      <c r="C105" s="120">
        <v>75023</v>
      </c>
      <c r="D105" s="120"/>
      <c r="E105" s="202">
        <f>SUM(E107:E134)</f>
        <v>2042055</v>
      </c>
      <c r="F105" s="123">
        <f>SUM(F106:F135)</f>
        <v>2029749</v>
      </c>
      <c r="G105" s="123">
        <f>SUM(G106:G135)</f>
        <v>1009738.66</v>
      </c>
      <c r="H105" s="90">
        <f t="shared" si="3"/>
        <v>0.49746971669896134</v>
      </c>
      <c r="I105" s="90">
        <f t="shared" si="2"/>
        <v>0.08145746778961503</v>
      </c>
      <c r="J105" s="122"/>
    </row>
    <row r="106" spans="1:10" ht="36.75" customHeight="1" hidden="1">
      <c r="A106" s="29" t="s">
        <v>482</v>
      </c>
      <c r="B106" s="120"/>
      <c r="C106" s="120"/>
      <c r="D106" s="28" t="s">
        <v>94</v>
      </c>
      <c r="E106" s="200">
        <v>0</v>
      </c>
      <c r="F106" s="41">
        <v>0</v>
      </c>
      <c r="G106" s="41">
        <v>0</v>
      </c>
      <c r="H106" s="118" t="e">
        <f t="shared" si="3"/>
        <v>#DIV/0!</v>
      </c>
      <c r="I106" s="227">
        <f t="shared" si="2"/>
        <v>0</v>
      </c>
      <c r="J106" s="38"/>
    </row>
    <row r="107" spans="1:10" ht="12.75">
      <c r="A107" s="78" t="s">
        <v>314</v>
      </c>
      <c r="B107" s="18"/>
      <c r="C107" s="18"/>
      <c r="D107" s="18">
        <v>3020</v>
      </c>
      <c r="E107" s="203">
        <v>6000</v>
      </c>
      <c r="F107" s="52">
        <v>6000</v>
      </c>
      <c r="G107" s="38">
        <v>2364.27</v>
      </c>
      <c r="H107" s="118">
        <f t="shared" si="3"/>
        <v>0.394045</v>
      </c>
      <c r="I107" s="118">
        <f t="shared" si="2"/>
        <v>0.0001907299928190856</v>
      </c>
      <c r="J107" s="42"/>
    </row>
    <row r="108" spans="1:10" ht="12.75">
      <c r="A108" s="17" t="s">
        <v>19</v>
      </c>
      <c r="B108" s="18"/>
      <c r="C108" s="18"/>
      <c r="D108" s="18">
        <v>4010</v>
      </c>
      <c r="E108" s="203">
        <v>1223405</v>
      </c>
      <c r="F108" s="52">
        <v>1213450</v>
      </c>
      <c r="G108" s="38">
        <v>550373.98</v>
      </c>
      <c r="H108" s="118">
        <f t="shared" si="3"/>
        <v>0.4535613169063414</v>
      </c>
      <c r="I108" s="118">
        <f t="shared" si="2"/>
        <v>0.04439967738592105</v>
      </c>
      <c r="J108" s="42"/>
    </row>
    <row r="109" spans="1:10" s="89" customFormat="1" ht="12.75">
      <c r="A109" s="17" t="s">
        <v>24</v>
      </c>
      <c r="B109" s="18"/>
      <c r="C109" s="18"/>
      <c r="D109" s="18">
        <v>4040</v>
      </c>
      <c r="E109" s="203">
        <v>95158</v>
      </c>
      <c r="F109" s="52">
        <v>94950</v>
      </c>
      <c r="G109" s="38">
        <v>94949.04</v>
      </c>
      <c r="H109" s="118">
        <f t="shared" si="3"/>
        <v>0.9999898894154817</v>
      </c>
      <c r="I109" s="118">
        <f t="shared" si="2"/>
        <v>0.007659713026591324</v>
      </c>
      <c r="J109" s="42"/>
    </row>
    <row r="110" spans="1:10" ht="12.75">
      <c r="A110" s="17" t="s">
        <v>21</v>
      </c>
      <c r="B110" s="18"/>
      <c r="C110" s="18"/>
      <c r="D110" s="18">
        <v>4110</v>
      </c>
      <c r="E110" s="203">
        <v>226641</v>
      </c>
      <c r="F110" s="52">
        <v>224850</v>
      </c>
      <c r="G110" s="38">
        <v>106598.61</v>
      </c>
      <c r="H110" s="118">
        <f t="shared" si="3"/>
        <v>0.47408765843895934</v>
      </c>
      <c r="I110" s="118">
        <f t="shared" si="2"/>
        <v>0.00859950518334391</v>
      </c>
      <c r="J110" s="42"/>
    </row>
    <row r="111" spans="1:10" ht="12.75">
      <c r="A111" s="17" t="s">
        <v>22</v>
      </c>
      <c r="B111" s="18"/>
      <c r="C111" s="18"/>
      <c r="D111" s="18">
        <v>4120</v>
      </c>
      <c r="E111" s="203">
        <v>26157</v>
      </c>
      <c r="F111" s="52">
        <v>25912</v>
      </c>
      <c r="G111" s="38">
        <v>11442.38</v>
      </c>
      <c r="H111" s="118">
        <f t="shared" si="3"/>
        <v>0.44158613769682</v>
      </c>
      <c r="I111" s="118">
        <f t="shared" si="2"/>
        <v>0.0009230777598299892</v>
      </c>
      <c r="J111" s="42"/>
    </row>
    <row r="112" spans="1:10" ht="13.5" customHeight="1">
      <c r="A112" s="31" t="s">
        <v>315</v>
      </c>
      <c r="B112" s="18"/>
      <c r="C112" s="18"/>
      <c r="D112" s="28" t="s">
        <v>133</v>
      </c>
      <c r="E112" s="203">
        <v>2000</v>
      </c>
      <c r="F112" s="52">
        <v>2000</v>
      </c>
      <c r="G112" s="38">
        <v>0</v>
      </c>
      <c r="H112" s="118">
        <f t="shared" si="3"/>
        <v>0</v>
      </c>
      <c r="I112" s="118">
        <f t="shared" si="2"/>
        <v>0</v>
      </c>
      <c r="J112" s="42"/>
    </row>
    <row r="113" spans="1:10" ht="12.75">
      <c r="A113" s="27" t="s">
        <v>159</v>
      </c>
      <c r="B113" s="18"/>
      <c r="C113" s="18"/>
      <c r="D113" s="28" t="s">
        <v>160</v>
      </c>
      <c r="E113" s="203">
        <v>3000</v>
      </c>
      <c r="F113" s="52">
        <v>3000</v>
      </c>
      <c r="G113" s="38">
        <v>0</v>
      </c>
      <c r="H113" s="118">
        <f t="shared" si="3"/>
        <v>0</v>
      </c>
      <c r="I113" s="118">
        <f t="shared" si="2"/>
        <v>0</v>
      </c>
      <c r="J113" s="42"/>
    </row>
    <row r="114" spans="1:10" ht="12.75">
      <c r="A114" s="27" t="s">
        <v>9</v>
      </c>
      <c r="B114" s="18"/>
      <c r="C114" s="18"/>
      <c r="D114" s="18">
        <v>4210</v>
      </c>
      <c r="E114" s="203">
        <v>95000</v>
      </c>
      <c r="F114" s="52">
        <v>95000</v>
      </c>
      <c r="G114" s="38">
        <v>51192.61</v>
      </c>
      <c r="H114" s="118">
        <f t="shared" si="3"/>
        <v>0.5388695789473684</v>
      </c>
      <c r="I114" s="118">
        <f t="shared" si="2"/>
        <v>0.00412980164604307</v>
      </c>
      <c r="J114" s="42"/>
    </row>
    <row r="115" spans="1:10" ht="12.75">
      <c r="A115" s="27" t="s">
        <v>57</v>
      </c>
      <c r="B115" s="18"/>
      <c r="C115" s="18"/>
      <c r="D115" s="18" t="s">
        <v>135</v>
      </c>
      <c r="E115" s="203">
        <v>2500</v>
      </c>
      <c r="F115" s="52">
        <v>2500</v>
      </c>
      <c r="G115" s="38">
        <v>579.13</v>
      </c>
      <c r="H115" s="118">
        <f t="shared" si="3"/>
        <v>0.231652</v>
      </c>
      <c r="I115" s="118">
        <f t="shared" si="2"/>
        <v>4.6719478207360854E-05</v>
      </c>
      <c r="J115" s="42"/>
    </row>
    <row r="116" spans="1:10" ht="12.75">
      <c r="A116" s="17" t="s">
        <v>10</v>
      </c>
      <c r="B116" s="18"/>
      <c r="C116" s="18"/>
      <c r="D116" s="18">
        <v>4260</v>
      </c>
      <c r="E116" s="203">
        <v>106000</v>
      </c>
      <c r="F116" s="52">
        <v>106000</v>
      </c>
      <c r="G116" s="38">
        <v>52449.9</v>
      </c>
      <c r="H116" s="118">
        <f t="shared" si="3"/>
        <v>0.4948103773584906</v>
      </c>
      <c r="I116" s="118">
        <f t="shared" si="2"/>
        <v>0.004231229534004897</v>
      </c>
      <c r="J116" s="42"/>
    </row>
    <row r="117" spans="1:10" ht="12.75">
      <c r="A117" s="27" t="s">
        <v>11</v>
      </c>
      <c r="B117" s="18"/>
      <c r="C117" s="18"/>
      <c r="D117" s="28" t="s">
        <v>132</v>
      </c>
      <c r="E117" s="203">
        <v>10000</v>
      </c>
      <c r="F117" s="52">
        <v>14230</v>
      </c>
      <c r="G117" s="38">
        <v>10331.15</v>
      </c>
      <c r="H117" s="118">
        <f t="shared" si="3"/>
        <v>0.7260119465917076</v>
      </c>
      <c r="I117" s="118">
        <f t="shared" si="2"/>
        <v>0.0008334327996856941</v>
      </c>
      <c r="J117" s="42"/>
    </row>
    <row r="118" spans="1:10" ht="12.75">
      <c r="A118" s="27" t="s">
        <v>45</v>
      </c>
      <c r="B118" s="18"/>
      <c r="C118" s="18"/>
      <c r="D118" s="28" t="s">
        <v>134</v>
      </c>
      <c r="E118" s="203">
        <v>1900</v>
      </c>
      <c r="F118" s="52">
        <v>1900</v>
      </c>
      <c r="G118" s="38">
        <v>978</v>
      </c>
      <c r="H118" s="118">
        <f t="shared" si="3"/>
        <v>0.5147368421052632</v>
      </c>
      <c r="I118" s="118">
        <f t="shared" si="2"/>
        <v>7.889705193445153E-05</v>
      </c>
      <c r="J118" s="42"/>
    </row>
    <row r="119" spans="1:10" ht="12.75">
      <c r="A119" s="17" t="s">
        <v>12</v>
      </c>
      <c r="B119" s="18"/>
      <c r="C119" s="18"/>
      <c r="D119" s="18">
        <v>4300</v>
      </c>
      <c r="E119" s="203">
        <v>124000</v>
      </c>
      <c r="F119" s="52">
        <v>117500</v>
      </c>
      <c r="G119" s="38">
        <v>65693.3</v>
      </c>
      <c r="H119" s="118">
        <f t="shared" si="3"/>
        <v>0.5590919148936171</v>
      </c>
      <c r="I119" s="118">
        <f t="shared" si="2"/>
        <v>0.005299598877142643</v>
      </c>
      <c r="J119" s="42"/>
    </row>
    <row r="120" spans="1:10" ht="25.5">
      <c r="A120" s="19" t="s">
        <v>323</v>
      </c>
      <c r="B120" s="18"/>
      <c r="C120" s="18"/>
      <c r="D120" s="18" t="s">
        <v>172</v>
      </c>
      <c r="E120" s="203">
        <v>300</v>
      </c>
      <c r="F120" s="52">
        <v>300</v>
      </c>
      <c r="G120" s="38">
        <v>185.5</v>
      </c>
      <c r="H120" s="118">
        <f t="shared" si="3"/>
        <v>0.6183333333333333</v>
      </c>
      <c r="I120" s="118">
        <f t="shared" si="2"/>
        <v>1.4964624881227769E-05</v>
      </c>
      <c r="J120" s="42"/>
    </row>
    <row r="121" spans="1:10" ht="12.75">
      <c r="A121" s="29" t="s">
        <v>394</v>
      </c>
      <c r="B121" s="18"/>
      <c r="C121" s="18"/>
      <c r="D121" s="28" t="s">
        <v>194</v>
      </c>
      <c r="E121" s="203">
        <v>14000</v>
      </c>
      <c r="F121" s="52">
        <v>14000</v>
      </c>
      <c r="G121" s="38">
        <v>6544.99</v>
      </c>
      <c r="H121" s="118">
        <f t="shared" si="3"/>
        <v>0.4674992857142857</v>
      </c>
      <c r="I121" s="118">
        <f t="shared" si="2"/>
        <v>0.0005279963353174498</v>
      </c>
      <c r="J121" s="42"/>
    </row>
    <row r="122" spans="1:10" ht="12.75">
      <c r="A122" s="50" t="s">
        <v>205</v>
      </c>
      <c r="B122" s="18"/>
      <c r="C122" s="18"/>
      <c r="D122" s="28" t="s">
        <v>206</v>
      </c>
      <c r="E122" s="203">
        <v>26000</v>
      </c>
      <c r="F122" s="52">
        <v>32000</v>
      </c>
      <c r="G122" s="38">
        <v>12960.16</v>
      </c>
      <c r="H122" s="118">
        <f t="shared" si="3"/>
        <v>0.405005</v>
      </c>
      <c r="I122" s="118">
        <f t="shared" si="2"/>
        <v>0.0010455198533730074</v>
      </c>
      <c r="J122" s="42"/>
    </row>
    <row r="123" spans="1:10" ht="12.75">
      <c r="A123" s="17" t="s">
        <v>25</v>
      </c>
      <c r="B123" s="18"/>
      <c r="C123" s="18"/>
      <c r="D123" s="18">
        <v>4410</v>
      </c>
      <c r="E123" s="203">
        <v>2500</v>
      </c>
      <c r="F123" s="52">
        <v>2500</v>
      </c>
      <c r="G123" s="38">
        <v>1070.6</v>
      </c>
      <c r="H123" s="118">
        <f t="shared" si="3"/>
        <v>0.42823999999999995</v>
      </c>
      <c r="I123" s="118">
        <f t="shared" si="2"/>
        <v>8.636726360022884E-05</v>
      </c>
      <c r="J123" s="42"/>
    </row>
    <row r="124" spans="1:10" ht="12.75">
      <c r="A124" s="17" t="s">
        <v>26</v>
      </c>
      <c r="B124" s="18"/>
      <c r="C124" s="18"/>
      <c r="D124" s="18">
        <v>4430</v>
      </c>
      <c r="E124" s="203">
        <v>15000</v>
      </c>
      <c r="F124" s="52">
        <v>13000</v>
      </c>
      <c r="G124" s="38">
        <v>6901.88</v>
      </c>
      <c r="H124" s="118">
        <f t="shared" si="3"/>
        <v>0.5309138461538462</v>
      </c>
      <c r="I124" s="118">
        <f t="shared" si="2"/>
        <v>0.0005567873055269451</v>
      </c>
      <c r="J124" s="42"/>
    </row>
    <row r="125" spans="1:10" ht="12.75">
      <c r="A125" s="31" t="s">
        <v>316</v>
      </c>
      <c r="B125" s="18"/>
      <c r="C125" s="18"/>
      <c r="D125" s="18">
        <v>4440</v>
      </c>
      <c r="E125" s="203">
        <v>36000</v>
      </c>
      <c r="F125" s="52">
        <v>36163</v>
      </c>
      <c r="G125" s="38">
        <v>27121.97</v>
      </c>
      <c r="H125" s="118">
        <f t="shared" si="3"/>
        <v>0.7499922572795399</v>
      </c>
      <c r="I125" s="118">
        <f t="shared" si="2"/>
        <v>0.0021879790139617957</v>
      </c>
      <c r="J125" s="42"/>
    </row>
    <row r="126" spans="1:10" ht="12.75">
      <c r="A126" s="27" t="s">
        <v>31</v>
      </c>
      <c r="B126" s="18"/>
      <c r="C126" s="18"/>
      <c r="D126" s="28" t="s">
        <v>161</v>
      </c>
      <c r="E126" s="203">
        <v>3861</v>
      </c>
      <c r="F126" s="52">
        <v>3861</v>
      </c>
      <c r="G126" s="38">
        <v>1908</v>
      </c>
      <c r="H126" s="118">
        <f t="shared" si="3"/>
        <v>0.49417249417249415</v>
      </c>
      <c r="I126" s="118">
        <f t="shared" si="2"/>
        <v>0.00015392185592119992</v>
      </c>
      <c r="J126" s="42"/>
    </row>
    <row r="127" spans="1:10" ht="25.5">
      <c r="A127" s="31" t="s">
        <v>317</v>
      </c>
      <c r="B127" s="18"/>
      <c r="C127" s="18"/>
      <c r="D127" s="28" t="s">
        <v>162</v>
      </c>
      <c r="E127" s="203">
        <v>2533</v>
      </c>
      <c r="F127" s="52">
        <v>2533</v>
      </c>
      <c r="G127" s="38">
        <v>1260</v>
      </c>
      <c r="H127" s="118">
        <f t="shared" si="3"/>
        <v>0.4974338728780103</v>
      </c>
      <c r="I127" s="118">
        <f t="shared" si="2"/>
        <v>0.00010164650862720749</v>
      </c>
      <c r="J127" s="42"/>
    </row>
    <row r="128" spans="1:10" ht="12.75">
      <c r="A128" s="50" t="s">
        <v>208</v>
      </c>
      <c r="B128" s="18"/>
      <c r="C128" s="18"/>
      <c r="D128" s="28" t="s">
        <v>209</v>
      </c>
      <c r="E128" s="203">
        <v>100</v>
      </c>
      <c r="F128" s="52">
        <v>100</v>
      </c>
      <c r="G128" s="38">
        <v>0</v>
      </c>
      <c r="H128" s="118">
        <f t="shared" si="3"/>
        <v>0</v>
      </c>
      <c r="I128" s="118">
        <f t="shared" si="2"/>
        <v>0</v>
      </c>
      <c r="J128" s="42"/>
    </row>
    <row r="129" spans="1:10" ht="12.75">
      <c r="A129" s="17" t="s">
        <v>92</v>
      </c>
      <c r="B129" s="18"/>
      <c r="C129" s="18"/>
      <c r="D129" s="18" t="s">
        <v>93</v>
      </c>
      <c r="E129" s="203">
        <v>5000</v>
      </c>
      <c r="F129" s="52">
        <v>5000</v>
      </c>
      <c r="G129" s="38">
        <v>434.67</v>
      </c>
      <c r="H129" s="118">
        <f t="shared" si="3"/>
        <v>0.086934</v>
      </c>
      <c r="I129" s="118">
        <f t="shared" si="2"/>
        <v>3.506562532141927E-05</v>
      </c>
      <c r="J129" s="42"/>
    </row>
    <row r="130" spans="1:10" ht="25.5" hidden="1">
      <c r="A130" s="19" t="s">
        <v>375</v>
      </c>
      <c r="B130" s="18"/>
      <c r="C130" s="18"/>
      <c r="D130" s="18" t="s">
        <v>368</v>
      </c>
      <c r="E130" s="203">
        <v>0</v>
      </c>
      <c r="F130" s="52">
        <v>0</v>
      </c>
      <c r="G130" s="38">
        <v>0</v>
      </c>
      <c r="H130" s="118" t="e">
        <f t="shared" si="3"/>
        <v>#DIV/0!</v>
      </c>
      <c r="I130" s="118">
        <f t="shared" si="2"/>
        <v>0</v>
      </c>
      <c r="J130" s="42"/>
    </row>
    <row r="131" spans="1:12" ht="12.75" hidden="1">
      <c r="A131" s="17" t="s">
        <v>16</v>
      </c>
      <c r="B131" s="18"/>
      <c r="C131" s="18"/>
      <c r="D131" s="18">
        <v>4580</v>
      </c>
      <c r="E131" s="203">
        <v>0</v>
      </c>
      <c r="F131" s="52">
        <v>0</v>
      </c>
      <c r="G131" s="38">
        <v>0</v>
      </c>
      <c r="H131" s="118" t="e">
        <f t="shared" si="3"/>
        <v>#DIV/0!</v>
      </c>
      <c r="I131" s="118">
        <f t="shared" si="2"/>
        <v>0</v>
      </c>
      <c r="J131" s="42"/>
      <c r="L131" s="98"/>
    </row>
    <row r="132" spans="1:12" ht="12.75">
      <c r="A132" s="17" t="s">
        <v>90</v>
      </c>
      <c r="B132" s="18"/>
      <c r="C132" s="18"/>
      <c r="D132" s="18" t="s">
        <v>91</v>
      </c>
      <c r="E132" s="203">
        <v>5000</v>
      </c>
      <c r="F132" s="52">
        <v>3000</v>
      </c>
      <c r="G132" s="38">
        <v>104.58</v>
      </c>
      <c r="H132" s="118">
        <f t="shared" si="3"/>
        <v>0.03486</v>
      </c>
      <c r="I132" s="118">
        <f t="shared" si="2"/>
        <v>8.436660216058222E-06</v>
      </c>
      <c r="J132" s="42"/>
      <c r="L132" s="98"/>
    </row>
    <row r="133" spans="1:12" ht="25.5">
      <c r="A133" s="29" t="s">
        <v>207</v>
      </c>
      <c r="B133" s="18"/>
      <c r="C133" s="18"/>
      <c r="D133" s="28" t="s">
        <v>193</v>
      </c>
      <c r="E133" s="203">
        <v>10000</v>
      </c>
      <c r="F133" s="52">
        <v>10000</v>
      </c>
      <c r="G133" s="38">
        <v>4293.94</v>
      </c>
      <c r="H133" s="118">
        <f t="shared" si="3"/>
        <v>0.42939399999999994</v>
      </c>
      <c r="I133" s="118">
        <f aca="true" t="shared" si="4" ref="I133:I196">G133/12395900.43</f>
        <v>0.00034640000734500895</v>
      </c>
      <c r="J133" s="42"/>
      <c r="L133" s="98"/>
    </row>
    <row r="134" spans="1:12" ht="12.75" hidden="1">
      <c r="A134" s="29" t="s">
        <v>87</v>
      </c>
      <c r="B134" s="18"/>
      <c r="C134" s="18"/>
      <c r="D134" s="28" t="s">
        <v>86</v>
      </c>
      <c r="E134" s="203">
        <v>0</v>
      </c>
      <c r="F134" s="52">
        <v>0</v>
      </c>
      <c r="G134" s="38">
        <v>0</v>
      </c>
      <c r="H134" s="118" t="e">
        <f t="shared" si="3"/>
        <v>#DIV/0!</v>
      </c>
      <c r="I134" s="118">
        <f t="shared" si="4"/>
        <v>0</v>
      </c>
      <c r="J134" s="42"/>
      <c r="L134" s="98"/>
    </row>
    <row r="135" spans="1:12" ht="12.75" hidden="1">
      <c r="A135" s="27" t="s">
        <v>363</v>
      </c>
      <c r="B135" s="18"/>
      <c r="C135" s="18"/>
      <c r="D135" s="28" t="s">
        <v>144</v>
      </c>
      <c r="E135" s="203">
        <v>0</v>
      </c>
      <c r="F135" s="52">
        <v>0</v>
      </c>
      <c r="G135" s="38">
        <v>0</v>
      </c>
      <c r="H135" s="118" t="e">
        <f t="shared" si="3"/>
        <v>#DIV/0!</v>
      </c>
      <c r="I135" s="118">
        <f t="shared" si="4"/>
        <v>0</v>
      </c>
      <c r="J135" s="42"/>
      <c r="L135" s="98"/>
    </row>
    <row r="136" spans="1:14" ht="12.75">
      <c r="A136" s="119" t="s">
        <v>364</v>
      </c>
      <c r="B136" s="120"/>
      <c r="C136" s="120" t="s">
        <v>187</v>
      </c>
      <c r="D136" s="120"/>
      <c r="E136" s="202">
        <f>SUM(E137:E142)</f>
        <v>34000</v>
      </c>
      <c r="F136" s="121">
        <f>SUM(F137:F142)</f>
        <v>35000</v>
      </c>
      <c r="G136" s="121">
        <f>SUM(G137:G142)</f>
        <v>19737.34</v>
      </c>
      <c r="H136" s="90">
        <f t="shared" si="3"/>
        <v>0.563924</v>
      </c>
      <c r="I136" s="90">
        <f t="shared" si="4"/>
        <v>0.0015922473814191488</v>
      </c>
      <c r="J136" s="122"/>
      <c r="L136" s="98"/>
      <c r="N136" s="81"/>
    </row>
    <row r="137" spans="1:14" ht="12.75" hidden="1">
      <c r="A137" s="27" t="s">
        <v>195</v>
      </c>
      <c r="B137" s="120"/>
      <c r="C137" s="120"/>
      <c r="D137" s="28" t="s">
        <v>160</v>
      </c>
      <c r="E137" s="200">
        <v>0</v>
      </c>
      <c r="F137" s="38">
        <v>0</v>
      </c>
      <c r="G137" s="38">
        <v>0</v>
      </c>
      <c r="H137" s="118"/>
      <c r="I137" s="118">
        <f t="shared" si="4"/>
        <v>0</v>
      </c>
      <c r="J137" s="122"/>
      <c r="L137" s="98"/>
      <c r="N137" s="81"/>
    </row>
    <row r="138" spans="1:14" ht="12.75">
      <c r="A138" s="27" t="s">
        <v>387</v>
      </c>
      <c r="B138" s="120"/>
      <c r="C138" s="120"/>
      <c r="D138" s="28" t="s">
        <v>383</v>
      </c>
      <c r="E138" s="200">
        <v>2000</v>
      </c>
      <c r="F138" s="38">
        <v>2000</v>
      </c>
      <c r="G138" s="38">
        <v>0</v>
      </c>
      <c r="H138" s="118">
        <f t="shared" si="3"/>
        <v>0</v>
      </c>
      <c r="I138" s="118">
        <f t="shared" si="4"/>
        <v>0</v>
      </c>
      <c r="J138" s="122"/>
      <c r="L138" s="98"/>
      <c r="N138" s="81"/>
    </row>
    <row r="139" spans="1:14" ht="12.75">
      <c r="A139" s="17" t="s">
        <v>9</v>
      </c>
      <c r="B139" s="18"/>
      <c r="C139" s="28"/>
      <c r="D139" s="28" t="s">
        <v>80</v>
      </c>
      <c r="E139" s="203">
        <v>10000</v>
      </c>
      <c r="F139" s="52">
        <v>9000</v>
      </c>
      <c r="G139" s="38">
        <v>2594.01</v>
      </c>
      <c r="H139" s="118">
        <f t="shared" si="3"/>
        <v>0.28822333333333333</v>
      </c>
      <c r="I139" s="118">
        <f t="shared" si="4"/>
        <v>0.00020926353955877977</v>
      </c>
      <c r="J139" s="42"/>
      <c r="L139" s="98"/>
      <c r="N139" s="81"/>
    </row>
    <row r="140" spans="1:14" ht="12.75">
      <c r="A140" s="27" t="s">
        <v>12</v>
      </c>
      <c r="B140" s="18"/>
      <c r="C140" s="28"/>
      <c r="D140" s="28" t="s">
        <v>76</v>
      </c>
      <c r="E140" s="203">
        <v>12000</v>
      </c>
      <c r="F140" s="52">
        <v>15600</v>
      </c>
      <c r="G140" s="38">
        <v>12943.33</v>
      </c>
      <c r="H140" s="118">
        <f t="shared" si="3"/>
        <v>0.829700641025641</v>
      </c>
      <c r="I140" s="118">
        <f t="shared" si="4"/>
        <v>0.0010441621464363441</v>
      </c>
      <c r="J140" s="42"/>
      <c r="L140" s="98"/>
      <c r="N140" s="81"/>
    </row>
    <row r="141" spans="1:14" ht="25.5">
      <c r="A141" s="29" t="s">
        <v>224</v>
      </c>
      <c r="B141" s="18"/>
      <c r="C141" s="28"/>
      <c r="D141" s="28" t="s">
        <v>221</v>
      </c>
      <c r="E141" s="203">
        <v>10000</v>
      </c>
      <c r="F141" s="52">
        <v>8400</v>
      </c>
      <c r="G141" s="38">
        <v>4200</v>
      </c>
      <c r="H141" s="118">
        <f t="shared" si="3"/>
        <v>0.5</v>
      </c>
      <c r="I141" s="118">
        <f t="shared" si="4"/>
        <v>0.00033882169542402495</v>
      </c>
      <c r="J141" s="42"/>
      <c r="L141" s="98"/>
      <c r="N141" s="81"/>
    </row>
    <row r="142" spans="1:14" ht="12.75" hidden="1">
      <c r="A142" s="27" t="s">
        <v>90</v>
      </c>
      <c r="B142" s="18"/>
      <c r="C142" s="28"/>
      <c r="D142" s="28" t="s">
        <v>91</v>
      </c>
      <c r="E142" s="203">
        <v>0</v>
      </c>
      <c r="F142" s="52">
        <v>0</v>
      </c>
      <c r="G142" s="38">
        <v>0</v>
      </c>
      <c r="H142" s="118" t="e">
        <f t="shared" si="3"/>
        <v>#DIV/0!</v>
      </c>
      <c r="I142" s="118">
        <f t="shared" si="4"/>
        <v>0</v>
      </c>
      <c r="J142" s="42"/>
      <c r="L142" s="98"/>
      <c r="N142" s="81"/>
    </row>
    <row r="143" spans="1:14" s="89" customFormat="1" ht="15" customHeight="1" hidden="1">
      <c r="A143" s="119" t="s">
        <v>274</v>
      </c>
      <c r="B143" s="18"/>
      <c r="C143" s="80" t="s">
        <v>275</v>
      </c>
      <c r="D143" s="80"/>
      <c r="E143" s="207">
        <v>0</v>
      </c>
      <c r="F143" s="83">
        <f>F144</f>
        <v>0</v>
      </c>
      <c r="G143" s="83">
        <f>SUM(G144)</f>
        <v>0</v>
      </c>
      <c r="H143" s="30" t="e">
        <f t="shared" si="3"/>
        <v>#DIV/0!</v>
      </c>
      <c r="I143" s="118">
        <f t="shared" si="4"/>
        <v>0</v>
      </c>
      <c r="J143" s="42"/>
      <c r="L143" s="128"/>
      <c r="N143" s="129"/>
    </row>
    <row r="144" spans="1:14" ht="38.25" hidden="1">
      <c r="A144" s="29" t="s">
        <v>277</v>
      </c>
      <c r="B144" s="18"/>
      <c r="C144" s="28"/>
      <c r="D144" s="32" t="s">
        <v>276</v>
      </c>
      <c r="E144" s="203">
        <v>0</v>
      </c>
      <c r="F144" s="52">
        <v>0</v>
      </c>
      <c r="G144" s="38">
        <v>0</v>
      </c>
      <c r="H144" s="118" t="e">
        <f t="shared" si="3"/>
        <v>#DIV/0!</v>
      </c>
      <c r="I144" s="227">
        <f t="shared" si="4"/>
        <v>0</v>
      </c>
      <c r="J144" s="42"/>
      <c r="L144" s="98"/>
      <c r="N144" s="81"/>
    </row>
    <row r="145" spans="1:14" ht="12.75">
      <c r="A145" s="119" t="s">
        <v>15</v>
      </c>
      <c r="B145" s="120"/>
      <c r="C145" s="120">
        <v>75095</v>
      </c>
      <c r="D145" s="120"/>
      <c r="E145" s="202">
        <f>SUM(E146:E151)</f>
        <v>25700</v>
      </c>
      <c r="F145" s="123">
        <f>SUM(F146:F151)</f>
        <v>27700</v>
      </c>
      <c r="G145" s="123">
        <f>SUM(G146:G151)</f>
        <v>15497.24</v>
      </c>
      <c r="H145" s="90">
        <f aca="true" t="shared" si="5" ref="H145:H224">G145/F145</f>
        <v>0.5594671480144404</v>
      </c>
      <c r="I145" s="30">
        <f t="shared" si="4"/>
        <v>0.0012501907455221468</v>
      </c>
      <c r="J145" s="122"/>
      <c r="L145" s="98"/>
      <c r="N145" s="81"/>
    </row>
    <row r="146" spans="1:14" ht="24.75" customHeight="1">
      <c r="A146" s="133" t="s">
        <v>318</v>
      </c>
      <c r="B146" s="18"/>
      <c r="C146" s="18"/>
      <c r="D146" s="28" t="s">
        <v>163</v>
      </c>
      <c r="E146" s="203">
        <v>10200</v>
      </c>
      <c r="F146" s="45">
        <v>10200</v>
      </c>
      <c r="G146" s="41">
        <v>5100</v>
      </c>
      <c r="H146" s="118">
        <f t="shared" si="5"/>
        <v>0.5</v>
      </c>
      <c r="I146" s="118">
        <f t="shared" si="4"/>
        <v>0.0004114263444434589</v>
      </c>
      <c r="J146" s="42"/>
      <c r="L146" s="98"/>
      <c r="N146" s="81"/>
    </row>
    <row r="147" spans="1:14" ht="12.75">
      <c r="A147" s="133" t="s">
        <v>159</v>
      </c>
      <c r="B147" s="18"/>
      <c r="C147" s="18"/>
      <c r="D147" s="28" t="s">
        <v>160</v>
      </c>
      <c r="E147" s="203">
        <v>0</v>
      </c>
      <c r="F147" s="45">
        <v>360</v>
      </c>
      <c r="G147" s="41">
        <v>360</v>
      </c>
      <c r="H147" s="118">
        <f t="shared" si="5"/>
        <v>1</v>
      </c>
      <c r="I147" s="118">
        <f t="shared" si="4"/>
        <v>2.904185960777357E-05</v>
      </c>
      <c r="J147" s="42"/>
      <c r="L147" s="98"/>
      <c r="N147" s="81"/>
    </row>
    <row r="148" spans="1:14" ht="12.75">
      <c r="A148" s="133" t="s">
        <v>387</v>
      </c>
      <c r="B148" s="18"/>
      <c r="C148" s="18"/>
      <c r="D148" s="28" t="s">
        <v>383</v>
      </c>
      <c r="E148" s="203">
        <v>2500</v>
      </c>
      <c r="F148" s="45">
        <v>3500</v>
      </c>
      <c r="G148" s="41">
        <v>2185.18</v>
      </c>
      <c r="H148" s="118">
        <f t="shared" si="5"/>
        <v>0.6243371428571428</v>
      </c>
      <c r="I148" s="118">
        <f t="shared" si="4"/>
        <v>0.00017628247438254067</v>
      </c>
      <c r="J148" s="42"/>
      <c r="L148" s="98"/>
      <c r="N148" s="81"/>
    </row>
    <row r="149" spans="1:14" ht="12.75">
      <c r="A149" s="17" t="s">
        <v>9</v>
      </c>
      <c r="B149" s="18"/>
      <c r="C149" s="18"/>
      <c r="D149" s="18">
        <v>4210</v>
      </c>
      <c r="E149" s="203">
        <v>5000</v>
      </c>
      <c r="F149" s="52">
        <v>5440</v>
      </c>
      <c r="G149" s="38">
        <v>3023.93</v>
      </c>
      <c r="H149" s="118">
        <f t="shared" si="5"/>
        <v>0.5558694852941176</v>
      </c>
      <c r="I149" s="118">
        <f t="shared" si="4"/>
        <v>0.0002439459736770409</v>
      </c>
      <c r="J149" s="42"/>
      <c r="L149" s="98"/>
      <c r="N149" s="81"/>
    </row>
    <row r="150" spans="1:14" ht="12.75">
      <c r="A150" s="27" t="s">
        <v>57</v>
      </c>
      <c r="B150" s="18"/>
      <c r="C150" s="18"/>
      <c r="D150" s="18" t="s">
        <v>135</v>
      </c>
      <c r="E150" s="203">
        <v>5000</v>
      </c>
      <c r="F150" s="52">
        <v>1700</v>
      </c>
      <c r="G150" s="38">
        <v>582.13</v>
      </c>
      <c r="H150" s="118">
        <f t="shared" si="5"/>
        <v>0.34242941176470587</v>
      </c>
      <c r="I150" s="118">
        <f t="shared" si="4"/>
        <v>4.69614937040923E-05</v>
      </c>
      <c r="J150" s="42"/>
      <c r="L150" s="98"/>
      <c r="N150" s="81"/>
    </row>
    <row r="151" spans="1:14" s="89" customFormat="1" ht="12.75">
      <c r="A151" s="17" t="s">
        <v>12</v>
      </c>
      <c r="B151" s="18"/>
      <c r="C151" s="18"/>
      <c r="D151" s="18" t="s">
        <v>76</v>
      </c>
      <c r="E151" s="203">
        <v>3000</v>
      </c>
      <c r="F151" s="52">
        <v>6500</v>
      </c>
      <c r="G151" s="38">
        <v>4246</v>
      </c>
      <c r="H151" s="118">
        <f t="shared" si="5"/>
        <v>0.6532307692307693</v>
      </c>
      <c r="I151" s="118">
        <f t="shared" si="4"/>
        <v>0.00034253259970724046</v>
      </c>
      <c r="J151" s="42"/>
      <c r="L151" s="128"/>
      <c r="N151" s="129"/>
    </row>
    <row r="152" spans="1:14" ht="25.5">
      <c r="A152" s="20" t="s">
        <v>174</v>
      </c>
      <c r="B152" s="16">
        <v>751</v>
      </c>
      <c r="C152" s="16"/>
      <c r="D152" s="16"/>
      <c r="E152" s="201">
        <f>SUM(E153)</f>
        <v>1350</v>
      </c>
      <c r="F152" s="39">
        <f>SUM(F153,F158,F167,F176)</f>
        <v>1350</v>
      </c>
      <c r="G152" s="39">
        <f>SUM(G153,G158,G167,G176)</f>
        <v>658.0699999999999</v>
      </c>
      <c r="H152" s="30">
        <f t="shared" si="5"/>
        <v>0.4874592592592592</v>
      </c>
      <c r="I152" s="30">
        <f t="shared" si="4"/>
        <v>5.308771264468764E-05</v>
      </c>
      <c r="J152" s="83">
        <v>0</v>
      </c>
      <c r="L152" s="98"/>
      <c r="N152" s="81"/>
    </row>
    <row r="153" spans="1:14" ht="25.5">
      <c r="A153" s="87" t="s">
        <v>175</v>
      </c>
      <c r="B153" s="120"/>
      <c r="C153" s="120">
        <v>75101</v>
      </c>
      <c r="D153" s="120"/>
      <c r="E153" s="202">
        <f>SUM(E154:E157)</f>
        <v>1350</v>
      </c>
      <c r="F153" s="121">
        <f>SUM(F154:F157)</f>
        <v>1350</v>
      </c>
      <c r="G153" s="121">
        <f>SUM(G154:G157)</f>
        <v>658.0699999999999</v>
      </c>
      <c r="H153" s="90">
        <f t="shared" si="5"/>
        <v>0.4874592592592592</v>
      </c>
      <c r="I153" s="90">
        <f t="shared" si="4"/>
        <v>5.308771264468764E-05</v>
      </c>
      <c r="J153" s="122"/>
      <c r="L153" s="98"/>
      <c r="N153" s="81"/>
    </row>
    <row r="154" spans="1:14" ht="12.75">
      <c r="A154" s="27" t="s">
        <v>19</v>
      </c>
      <c r="B154" s="18"/>
      <c r="C154" s="18"/>
      <c r="D154" s="28" t="s">
        <v>146</v>
      </c>
      <c r="E154" s="203">
        <v>1080</v>
      </c>
      <c r="F154" s="52">
        <v>1080</v>
      </c>
      <c r="G154" s="38">
        <v>512.67</v>
      </c>
      <c r="H154" s="118">
        <f t="shared" si="5"/>
        <v>0.4746944444444444</v>
      </c>
      <c r="I154" s="118">
        <f t="shared" si="4"/>
        <v>4.135802823643687E-05</v>
      </c>
      <c r="J154" s="42"/>
      <c r="L154" s="98"/>
      <c r="N154" s="81"/>
    </row>
    <row r="155" spans="1:14" ht="12.75">
      <c r="A155" s="17" t="s">
        <v>27</v>
      </c>
      <c r="B155" s="18"/>
      <c r="C155" s="18"/>
      <c r="D155" s="18">
        <v>4110</v>
      </c>
      <c r="E155" s="203">
        <v>185</v>
      </c>
      <c r="F155" s="52">
        <v>186</v>
      </c>
      <c r="G155" s="38">
        <v>77.35</v>
      </c>
      <c r="H155" s="118">
        <f>G155/F155</f>
        <v>0.4158602150537634</v>
      </c>
      <c r="I155" s="118">
        <f t="shared" si="4"/>
        <v>6.239966224059126E-06</v>
      </c>
      <c r="J155" s="42"/>
      <c r="L155" s="98"/>
      <c r="N155" s="81"/>
    </row>
    <row r="156" spans="1:14" s="89" customFormat="1" ht="12.75">
      <c r="A156" s="17" t="s">
        <v>22</v>
      </c>
      <c r="B156" s="18"/>
      <c r="C156" s="18"/>
      <c r="D156" s="18">
        <v>4120</v>
      </c>
      <c r="E156" s="203">
        <v>27</v>
      </c>
      <c r="F156" s="52">
        <v>27</v>
      </c>
      <c r="G156" s="38">
        <v>11.05</v>
      </c>
      <c r="H156" s="118">
        <f t="shared" si="5"/>
        <v>0.40925925925925927</v>
      </c>
      <c r="I156" s="118">
        <f t="shared" si="4"/>
        <v>8.91423746294161E-07</v>
      </c>
      <c r="J156" s="42"/>
      <c r="L156" s="128"/>
      <c r="N156" s="129"/>
    </row>
    <row r="157" spans="1:14" ht="12.75">
      <c r="A157" s="27" t="s">
        <v>12</v>
      </c>
      <c r="B157" s="18"/>
      <c r="C157" s="18"/>
      <c r="D157" s="28" t="s">
        <v>76</v>
      </c>
      <c r="E157" s="203">
        <v>58</v>
      </c>
      <c r="F157" s="52">
        <v>57</v>
      </c>
      <c r="G157" s="38">
        <v>57</v>
      </c>
      <c r="H157" s="118">
        <f t="shared" si="5"/>
        <v>1</v>
      </c>
      <c r="I157" s="118">
        <f t="shared" si="4"/>
        <v>4.598294437897482E-06</v>
      </c>
      <c r="J157" s="42"/>
      <c r="L157" s="98"/>
      <c r="N157" s="81"/>
    </row>
    <row r="158" spans="1:14" ht="15" customHeight="1" hidden="1">
      <c r="A158" s="119" t="s">
        <v>278</v>
      </c>
      <c r="B158" s="120"/>
      <c r="C158" s="120" t="s">
        <v>261</v>
      </c>
      <c r="D158" s="120"/>
      <c r="E158" s="202">
        <v>0</v>
      </c>
      <c r="F158" s="121">
        <f>SUM(F159:F166)</f>
        <v>0</v>
      </c>
      <c r="G158" s="121">
        <f>SUM(G159:G166)</f>
        <v>0</v>
      </c>
      <c r="H158" s="90" t="e">
        <f t="shared" si="5"/>
        <v>#DIV/0!</v>
      </c>
      <c r="I158" s="227">
        <f t="shared" si="4"/>
        <v>0</v>
      </c>
      <c r="J158" s="83"/>
      <c r="L158" s="98"/>
      <c r="N158" s="81"/>
    </row>
    <row r="159" spans="1:14" ht="12.75" hidden="1">
      <c r="A159" s="78" t="s">
        <v>23</v>
      </c>
      <c r="B159" s="18"/>
      <c r="C159" s="32"/>
      <c r="D159" s="32" t="s">
        <v>77</v>
      </c>
      <c r="E159" s="203">
        <v>0</v>
      </c>
      <c r="F159" s="52">
        <v>0</v>
      </c>
      <c r="G159" s="38">
        <v>0</v>
      </c>
      <c r="H159" s="118" t="e">
        <f t="shared" si="5"/>
        <v>#DIV/0!</v>
      </c>
      <c r="I159" s="118">
        <f t="shared" si="4"/>
        <v>0</v>
      </c>
      <c r="J159" s="42"/>
      <c r="L159" s="98"/>
      <c r="N159" s="81"/>
    </row>
    <row r="160" spans="1:14" ht="12.75" hidden="1">
      <c r="A160" s="27" t="s">
        <v>19</v>
      </c>
      <c r="B160" s="18"/>
      <c r="C160" s="32"/>
      <c r="D160" s="28" t="s">
        <v>146</v>
      </c>
      <c r="E160" s="203">
        <v>0</v>
      </c>
      <c r="F160" s="52">
        <v>0</v>
      </c>
      <c r="G160" s="38">
        <v>0</v>
      </c>
      <c r="H160" s="118" t="e">
        <f t="shared" si="5"/>
        <v>#DIV/0!</v>
      </c>
      <c r="I160" s="227">
        <f t="shared" si="4"/>
        <v>0</v>
      </c>
      <c r="J160" s="42"/>
      <c r="L160" s="98"/>
      <c r="N160" s="81"/>
    </row>
    <row r="161" spans="1:14" ht="12.75" hidden="1">
      <c r="A161" s="78" t="s">
        <v>21</v>
      </c>
      <c r="B161" s="18"/>
      <c r="C161" s="32"/>
      <c r="D161" s="32" t="s">
        <v>78</v>
      </c>
      <c r="E161" s="203">
        <v>0</v>
      </c>
      <c r="F161" s="52">
        <v>0</v>
      </c>
      <c r="G161" s="38">
        <v>0</v>
      </c>
      <c r="H161" s="118" t="e">
        <f t="shared" si="5"/>
        <v>#DIV/0!</v>
      </c>
      <c r="I161" s="118">
        <f t="shared" si="4"/>
        <v>0</v>
      </c>
      <c r="J161" s="42"/>
      <c r="L161" s="98"/>
      <c r="N161" s="81"/>
    </row>
    <row r="162" spans="1:14" ht="12.75" hidden="1">
      <c r="A162" s="78" t="s">
        <v>22</v>
      </c>
      <c r="B162" s="18"/>
      <c r="C162" s="32"/>
      <c r="D162" s="32" t="s">
        <v>79</v>
      </c>
      <c r="E162" s="203">
        <v>0</v>
      </c>
      <c r="F162" s="52">
        <v>0</v>
      </c>
      <c r="G162" s="38">
        <v>0</v>
      </c>
      <c r="H162" s="118" t="e">
        <f t="shared" si="5"/>
        <v>#DIV/0!</v>
      </c>
      <c r="I162" s="227">
        <f t="shared" si="4"/>
        <v>0</v>
      </c>
      <c r="J162" s="42"/>
      <c r="L162" s="98"/>
      <c r="N162" s="81"/>
    </row>
    <row r="163" spans="1:14" ht="12.75" hidden="1">
      <c r="A163" s="78" t="s">
        <v>159</v>
      </c>
      <c r="B163" s="18"/>
      <c r="C163" s="32"/>
      <c r="D163" s="32" t="s">
        <v>160</v>
      </c>
      <c r="E163" s="203">
        <v>0</v>
      </c>
      <c r="F163" s="52">
        <v>0</v>
      </c>
      <c r="G163" s="38">
        <v>0</v>
      </c>
      <c r="H163" s="118" t="e">
        <f t="shared" si="5"/>
        <v>#DIV/0!</v>
      </c>
      <c r="I163" s="118">
        <f t="shared" si="4"/>
        <v>0</v>
      </c>
      <c r="J163" s="42"/>
      <c r="L163" s="98"/>
      <c r="N163" s="81"/>
    </row>
    <row r="164" spans="1:14" ht="12.75" hidden="1">
      <c r="A164" s="78" t="s">
        <v>9</v>
      </c>
      <c r="B164" s="18"/>
      <c r="C164" s="32"/>
      <c r="D164" s="32" t="s">
        <v>80</v>
      </c>
      <c r="E164" s="203">
        <v>0</v>
      </c>
      <c r="F164" s="52">
        <v>0</v>
      </c>
      <c r="G164" s="38">
        <v>0</v>
      </c>
      <c r="H164" s="118" t="e">
        <f t="shared" si="5"/>
        <v>#DIV/0!</v>
      </c>
      <c r="I164" s="227">
        <f t="shared" si="4"/>
        <v>0</v>
      </c>
      <c r="J164" s="42"/>
      <c r="L164" s="98"/>
      <c r="N164" s="81"/>
    </row>
    <row r="165" spans="1:14" ht="12.75" hidden="1">
      <c r="A165" s="78" t="s">
        <v>12</v>
      </c>
      <c r="B165" s="18"/>
      <c r="C165" s="32"/>
      <c r="D165" s="32" t="s">
        <v>76</v>
      </c>
      <c r="E165" s="203">
        <v>0</v>
      </c>
      <c r="F165" s="52">
        <v>0</v>
      </c>
      <c r="G165" s="38">
        <v>0</v>
      </c>
      <c r="H165" s="118" t="e">
        <f t="shared" si="5"/>
        <v>#DIV/0!</v>
      </c>
      <c r="I165" s="118">
        <f t="shared" si="4"/>
        <v>0</v>
      </c>
      <c r="J165" s="42"/>
      <c r="L165" s="98"/>
      <c r="N165" s="81"/>
    </row>
    <row r="166" spans="1:14" ht="12.75" hidden="1">
      <c r="A166" s="78" t="s">
        <v>25</v>
      </c>
      <c r="B166" s="18"/>
      <c r="C166" s="32"/>
      <c r="D166" s="32" t="s">
        <v>81</v>
      </c>
      <c r="E166" s="203">
        <v>0</v>
      </c>
      <c r="F166" s="52">
        <v>0</v>
      </c>
      <c r="G166" s="38">
        <v>0</v>
      </c>
      <c r="H166" s="118" t="e">
        <f t="shared" si="5"/>
        <v>#DIV/0!</v>
      </c>
      <c r="I166" s="227">
        <f t="shared" si="4"/>
        <v>0</v>
      </c>
      <c r="J166" s="42"/>
      <c r="L166" s="98"/>
      <c r="N166" s="81"/>
    </row>
    <row r="167" spans="1:14" ht="12.75" hidden="1">
      <c r="A167" s="141" t="s">
        <v>400</v>
      </c>
      <c r="B167" s="18"/>
      <c r="C167" s="120" t="s">
        <v>398</v>
      </c>
      <c r="D167" s="28"/>
      <c r="E167" s="202">
        <v>0</v>
      </c>
      <c r="F167" s="121">
        <f>SUM(F168:F175)</f>
        <v>0</v>
      </c>
      <c r="G167" s="121">
        <f>SUM(G168:G175)</f>
        <v>0</v>
      </c>
      <c r="H167" s="90" t="e">
        <f aca="true" t="shared" si="6" ref="H167:H175">G167/F167</f>
        <v>#DIV/0!</v>
      </c>
      <c r="I167" s="118">
        <f t="shared" si="4"/>
        <v>0</v>
      </c>
      <c r="J167" s="42"/>
      <c r="L167" s="98"/>
      <c r="N167" s="82"/>
    </row>
    <row r="168" spans="1:14" ht="12.75" hidden="1">
      <c r="A168" s="78" t="s">
        <v>23</v>
      </c>
      <c r="B168" s="18"/>
      <c r="C168" s="120"/>
      <c r="D168" s="28" t="s">
        <v>77</v>
      </c>
      <c r="E168" s="203">
        <v>0</v>
      </c>
      <c r="F168" s="52">
        <v>0</v>
      </c>
      <c r="G168" s="38">
        <v>0</v>
      </c>
      <c r="H168" s="118" t="e">
        <f t="shared" si="6"/>
        <v>#DIV/0!</v>
      </c>
      <c r="I168" s="227">
        <f t="shared" si="4"/>
        <v>0</v>
      </c>
      <c r="J168" s="42"/>
      <c r="L168" s="98"/>
      <c r="N168" s="82"/>
    </row>
    <row r="169" spans="1:14" ht="12.75" hidden="1">
      <c r="A169" s="27" t="s">
        <v>19</v>
      </c>
      <c r="B169" s="18"/>
      <c r="C169" s="120"/>
      <c r="D169" s="28" t="s">
        <v>146</v>
      </c>
      <c r="E169" s="203">
        <v>0</v>
      </c>
      <c r="F169" s="52">
        <v>0</v>
      </c>
      <c r="G169" s="38">
        <v>0</v>
      </c>
      <c r="H169" s="118" t="e">
        <f t="shared" si="6"/>
        <v>#DIV/0!</v>
      </c>
      <c r="I169" s="118">
        <f t="shared" si="4"/>
        <v>0</v>
      </c>
      <c r="J169" s="42"/>
      <c r="L169" s="98"/>
      <c r="N169" s="82"/>
    </row>
    <row r="170" spans="1:14" ht="12.75" hidden="1">
      <c r="A170" s="78" t="s">
        <v>21</v>
      </c>
      <c r="B170" s="18"/>
      <c r="C170" s="120"/>
      <c r="D170" s="28" t="s">
        <v>78</v>
      </c>
      <c r="E170" s="203">
        <v>0</v>
      </c>
      <c r="F170" s="52">
        <v>0</v>
      </c>
      <c r="G170" s="38">
        <v>0</v>
      </c>
      <c r="H170" s="118" t="e">
        <f t="shared" si="6"/>
        <v>#DIV/0!</v>
      </c>
      <c r="I170" s="227">
        <f t="shared" si="4"/>
        <v>0</v>
      </c>
      <c r="J170" s="42"/>
      <c r="L170" s="98"/>
      <c r="N170" s="82"/>
    </row>
    <row r="171" spans="1:14" ht="12.75" hidden="1">
      <c r="A171" s="78" t="s">
        <v>22</v>
      </c>
      <c r="B171" s="18"/>
      <c r="C171" s="120"/>
      <c r="D171" s="28" t="s">
        <v>79</v>
      </c>
      <c r="E171" s="203">
        <v>0</v>
      </c>
      <c r="F171" s="52">
        <v>0</v>
      </c>
      <c r="G171" s="38">
        <v>0</v>
      </c>
      <c r="H171" s="118" t="e">
        <f t="shared" si="6"/>
        <v>#DIV/0!</v>
      </c>
      <c r="I171" s="118">
        <f t="shared" si="4"/>
        <v>0</v>
      </c>
      <c r="J171" s="42"/>
      <c r="L171" s="98"/>
      <c r="N171" s="82"/>
    </row>
    <row r="172" spans="1:14" ht="12.75" hidden="1">
      <c r="A172" s="78" t="s">
        <v>159</v>
      </c>
      <c r="B172" s="18"/>
      <c r="C172" s="120"/>
      <c r="D172" s="28" t="s">
        <v>160</v>
      </c>
      <c r="E172" s="203">
        <v>0</v>
      </c>
      <c r="F172" s="52">
        <v>0</v>
      </c>
      <c r="G172" s="38">
        <v>0</v>
      </c>
      <c r="H172" s="118" t="e">
        <f t="shared" si="6"/>
        <v>#DIV/0!</v>
      </c>
      <c r="I172" s="227">
        <f t="shared" si="4"/>
        <v>0</v>
      </c>
      <c r="J172" s="42"/>
      <c r="L172" s="98"/>
      <c r="N172" s="82"/>
    </row>
    <row r="173" spans="1:14" ht="12.75" hidden="1">
      <c r="A173" s="78" t="s">
        <v>9</v>
      </c>
      <c r="B173" s="18"/>
      <c r="C173" s="120"/>
      <c r="D173" s="28" t="s">
        <v>80</v>
      </c>
      <c r="E173" s="203">
        <v>0</v>
      </c>
      <c r="F173" s="52">
        <v>0</v>
      </c>
      <c r="G173" s="38">
        <v>0</v>
      </c>
      <c r="H173" s="118" t="e">
        <f t="shared" si="6"/>
        <v>#DIV/0!</v>
      </c>
      <c r="I173" s="118">
        <f t="shared" si="4"/>
        <v>0</v>
      </c>
      <c r="J173" s="42"/>
      <c r="L173" s="98"/>
      <c r="N173" s="82"/>
    </row>
    <row r="174" spans="1:14" ht="12.75" hidden="1">
      <c r="A174" s="78" t="s">
        <v>12</v>
      </c>
      <c r="B174" s="18"/>
      <c r="C174" s="120"/>
      <c r="D174" s="28" t="s">
        <v>76</v>
      </c>
      <c r="E174" s="203">
        <v>0</v>
      </c>
      <c r="F174" s="52">
        <v>0</v>
      </c>
      <c r="G174" s="38">
        <v>0</v>
      </c>
      <c r="H174" s="118" t="e">
        <f t="shared" si="6"/>
        <v>#DIV/0!</v>
      </c>
      <c r="I174" s="227">
        <f t="shared" si="4"/>
        <v>0</v>
      </c>
      <c r="J174" s="42"/>
      <c r="L174" s="98"/>
      <c r="N174" s="82"/>
    </row>
    <row r="175" spans="1:14" ht="12.75" hidden="1">
      <c r="A175" s="78" t="s">
        <v>25</v>
      </c>
      <c r="B175" s="18"/>
      <c r="C175" s="120"/>
      <c r="D175" s="28" t="s">
        <v>81</v>
      </c>
      <c r="E175" s="203">
        <v>0</v>
      </c>
      <c r="F175" s="52">
        <v>0</v>
      </c>
      <c r="G175" s="38">
        <v>0</v>
      </c>
      <c r="H175" s="118" t="e">
        <f t="shared" si="6"/>
        <v>#DIV/0!</v>
      </c>
      <c r="I175" s="118">
        <f t="shared" si="4"/>
        <v>0</v>
      </c>
      <c r="J175" s="42"/>
      <c r="L175" s="98"/>
      <c r="N175" s="82"/>
    </row>
    <row r="176" spans="1:14" ht="12.75" hidden="1">
      <c r="A176" s="141" t="s">
        <v>401</v>
      </c>
      <c r="B176" s="18"/>
      <c r="C176" s="120" t="s">
        <v>399</v>
      </c>
      <c r="D176" s="28"/>
      <c r="E176" s="202">
        <v>0</v>
      </c>
      <c r="F176" s="121">
        <f>SUM(F177:F184)</f>
        <v>0</v>
      </c>
      <c r="G176" s="121">
        <f>SUM(G177:G184)</f>
        <v>0</v>
      </c>
      <c r="H176" s="90" t="e">
        <f aca="true" t="shared" si="7" ref="H176:H184">G176/F176</f>
        <v>#DIV/0!</v>
      </c>
      <c r="I176" s="227">
        <f t="shared" si="4"/>
        <v>0</v>
      </c>
      <c r="J176" s="42"/>
      <c r="L176" s="98"/>
      <c r="N176" s="82"/>
    </row>
    <row r="177" spans="1:14" ht="12.75" hidden="1">
      <c r="A177" s="78" t="s">
        <v>23</v>
      </c>
      <c r="B177" s="18"/>
      <c r="C177" s="120"/>
      <c r="D177" s="28" t="s">
        <v>77</v>
      </c>
      <c r="E177" s="203">
        <v>0</v>
      </c>
      <c r="F177" s="52">
        <v>0</v>
      </c>
      <c r="G177" s="38">
        <v>0</v>
      </c>
      <c r="H177" s="118" t="e">
        <f t="shared" si="7"/>
        <v>#DIV/0!</v>
      </c>
      <c r="I177" s="118">
        <f t="shared" si="4"/>
        <v>0</v>
      </c>
      <c r="J177" s="42"/>
      <c r="L177" s="98"/>
      <c r="N177" s="82"/>
    </row>
    <row r="178" spans="1:14" ht="12.75" hidden="1">
      <c r="A178" s="27" t="s">
        <v>19</v>
      </c>
      <c r="B178" s="18"/>
      <c r="C178" s="120"/>
      <c r="D178" s="28" t="s">
        <v>146</v>
      </c>
      <c r="E178" s="203">
        <v>0</v>
      </c>
      <c r="F178" s="52">
        <v>0</v>
      </c>
      <c r="G178" s="38">
        <v>0</v>
      </c>
      <c r="H178" s="118" t="e">
        <f t="shared" si="7"/>
        <v>#DIV/0!</v>
      </c>
      <c r="I178" s="227">
        <f t="shared" si="4"/>
        <v>0</v>
      </c>
      <c r="J178" s="42"/>
      <c r="L178" s="98"/>
      <c r="N178" s="82"/>
    </row>
    <row r="179" spans="1:14" ht="12.75" hidden="1">
      <c r="A179" s="78" t="s">
        <v>21</v>
      </c>
      <c r="B179" s="18"/>
      <c r="C179" s="120"/>
      <c r="D179" s="28" t="s">
        <v>78</v>
      </c>
      <c r="E179" s="203">
        <v>0</v>
      </c>
      <c r="F179" s="52">
        <v>0</v>
      </c>
      <c r="G179" s="38">
        <v>0</v>
      </c>
      <c r="H179" s="118" t="e">
        <f t="shared" si="7"/>
        <v>#DIV/0!</v>
      </c>
      <c r="I179" s="118">
        <f t="shared" si="4"/>
        <v>0</v>
      </c>
      <c r="J179" s="42"/>
      <c r="L179" s="98"/>
      <c r="N179" s="82"/>
    </row>
    <row r="180" spans="1:14" ht="12.75" hidden="1">
      <c r="A180" s="78" t="s">
        <v>22</v>
      </c>
      <c r="B180" s="18"/>
      <c r="C180" s="120"/>
      <c r="D180" s="28" t="s">
        <v>79</v>
      </c>
      <c r="E180" s="203">
        <v>0</v>
      </c>
      <c r="F180" s="52">
        <v>0</v>
      </c>
      <c r="G180" s="38">
        <v>0</v>
      </c>
      <c r="H180" s="118" t="e">
        <f t="shared" si="7"/>
        <v>#DIV/0!</v>
      </c>
      <c r="I180" s="227">
        <f t="shared" si="4"/>
        <v>0</v>
      </c>
      <c r="J180" s="42"/>
      <c r="L180" s="98"/>
      <c r="N180" s="82"/>
    </row>
    <row r="181" spans="1:14" ht="12.75" hidden="1">
      <c r="A181" s="78" t="s">
        <v>159</v>
      </c>
      <c r="B181" s="18"/>
      <c r="C181" s="120"/>
      <c r="D181" s="28" t="s">
        <v>160</v>
      </c>
      <c r="E181" s="203">
        <v>0</v>
      </c>
      <c r="F181" s="52">
        <v>0</v>
      </c>
      <c r="G181" s="38">
        <v>0</v>
      </c>
      <c r="H181" s="118" t="e">
        <f t="shared" si="7"/>
        <v>#DIV/0!</v>
      </c>
      <c r="I181" s="118">
        <f t="shared" si="4"/>
        <v>0</v>
      </c>
      <c r="J181" s="42"/>
      <c r="L181" s="98"/>
      <c r="N181" s="82"/>
    </row>
    <row r="182" spans="1:14" ht="12.75" hidden="1">
      <c r="A182" s="78" t="s">
        <v>9</v>
      </c>
      <c r="B182" s="18"/>
      <c r="C182" s="120"/>
      <c r="D182" s="28" t="s">
        <v>80</v>
      </c>
      <c r="E182" s="203">
        <v>0</v>
      </c>
      <c r="F182" s="52">
        <v>0</v>
      </c>
      <c r="G182" s="38">
        <v>0</v>
      </c>
      <c r="H182" s="118" t="e">
        <f t="shared" si="7"/>
        <v>#DIV/0!</v>
      </c>
      <c r="I182" s="227">
        <f t="shared" si="4"/>
        <v>0</v>
      </c>
      <c r="J182" s="42"/>
      <c r="L182" s="98"/>
      <c r="N182" s="82"/>
    </row>
    <row r="183" spans="1:14" ht="12.75" hidden="1">
      <c r="A183" s="78" t="s">
        <v>12</v>
      </c>
      <c r="B183" s="18"/>
      <c r="C183" s="120"/>
      <c r="D183" s="28" t="s">
        <v>76</v>
      </c>
      <c r="E183" s="203">
        <v>0</v>
      </c>
      <c r="F183" s="52">
        <v>0</v>
      </c>
      <c r="G183" s="38">
        <v>0</v>
      </c>
      <c r="H183" s="118" t="e">
        <f t="shared" si="7"/>
        <v>#DIV/0!</v>
      </c>
      <c r="I183" s="118">
        <f t="shared" si="4"/>
        <v>0</v>
      </c>
      <c r="J183" s="42"/>
      <c r="L183" s="98"/>
      <c r="N183" s="82"/>
    </row>
    <row r="184" spans="1:14" ht="12.75" hidden="1">
      <c r="A184" s="78" t="s">
        <v>25</v>
      </c>
      <c r="B184" s="18"/>
      <c r="C184" s="120"/>
      <c r="D184" s="28" t="s">
        <v>81</v>
      </c>
      <c r="E184" s="203">
        <v>0</v>
      </c>
      <c r="F184" s="52">
        <v>0</v>
      </c>
      <c r="G184" s="38">
        <v>0</v>
      </c>
      <c r="H184" s="118" t="e">
        <f t="shared" si="7"/>
        <v>#DIV/0!</v>
      </c>
      <c r="I184" s="227">
        <f t="shared" si="4"/>
        <v>0</v>
      </c>
      <c r="J184" s="42"/>
      <c r="L184" s="98"/>
      <c r="N184" s="82"/>
    </row>
    <row r="185" spans="1:12" ht="24.75" customHeight="1">
      <c r="A185" s="20" t="s">
        <v>28</v>
      </c>
      <c r="B185" s="16">
        <v>754</v>
      </c>
      <c r="C185" s="16"/>
      <c r="D185" s="16"/>
      <c r="E185" s="201">
        <f>SUM(E186,E190,E205,E218,E188,E214)</f>
        <v>604074</v>
      </c>
      <c r="F185" s="176">
        <f>SUM(,F190,F205,F214,F218,F186)</f>
        <v>616317</v>
      </c>
      <c r="G185" s="39">
        <f>SUM(G186,G190,G205,G218,G188,G214)</f>
        <v>21442.17</v>
      </c>
      <c r="H185" s="30">
        <f t="shared" si="5"/>
        <v>0.034790813818213674</v>
      </c>
      <c r="I185" s="30">
        <f t="shared" si="4"/>
        <v>0.0017297791411833726</v>
      </c>
      <c r="J185" s="83">
        <v>0</v>
      </c>
      <c r="L185" s="98"/>
    </row>
    <row r="186" spans="1:12" ht="15" customHeight="1">
      <c r="A186" s="87" t="s">
        <v>372</v>
      </c>
      <c r="B186" s="125"/>
      <c r="C186" s="125" t="s">
        <v>389</v>
      </c>
      <c r="D186" s="125"/>
      <c r="E186" s="205">
        <f>SUM(E187)</f>
        <v>0</v>
      </c>
      <c r="F186" s="127">
        <f>F187</f>
        <v>5000</v>
      </c>
      <c r="G186" s="127">
        <f>G187</f>
        <v>0</v>
      </c>
      <c r="H186" s="90">
        <f t="shared" si="5"/>
        <v>0</v>
      </c>
      <c r="I186" s="90">
        <f t="shared" si="4"/>
        <v>0</v>
      </c>
      <c r="J186" s="121"/>
      <c r="L186" s="98"/>
    </row>
    <row r="187" spans="1:12" s="89" customFormat="1" ht="25.5">
      <c r="A187" s="140" t="s">
        <v>350</v>
      </c>
      <c r="B187" s="21"/>
      <c r="C187" s="21"/>
      <c r="D187" s="21" t="s">
        <v>356</v>
      </c>
      <c r="E187" s="206">
        <v>0</v>
      </c>
      <c r="F187" s="40">
        <v>5000</v>
      </c>
      <c r="G187" s="40">
        <v>0</v>
      </c>
      <c r="H187" s="118">
        <f t="shared" si="5"/>
        <v>0</v>
      </c>
      <c r="I187" s="118">
        <f t="shared" si="4"/>
        <v>0</v>
      </c>
      <c r="J187" s="38"/>
      <c r="L187" s="128"/>
    </row>
    <row r="188" spans="1:12" s="94" customFormat="1" ht="12.75" hidden="1">
      <c r="A188" s="177" t="s">
        <v>348</v>
      </c>
      <c r="B188" s="178"/>
      <c r="C188" s="179" t="s">
        <v>349</v>
      </c>
      <c r="D188" s="178"/>
      <c r="E188" s="202">
        <v>0</v>
      </c>
      <c r="F188" s="180">
        <f>SUM(F189:F189)</f>
        <v>0</v>
      </c>
      <c r="G188" s="180">
        <v>0</v>
      </c>
      <c r="H188" s="181" t="e">
        <f t="shared" si="5"/>
        <v>#DIV/0!</v>
      </c>
      <c r="I188" s="227">
        <f t="shared" si="4"/>
        <v>0</v>
      </c>
      <c r="J188" s="183"/>
      <c r="L188" s="98"/>
    </row>
    <row r="189" spans="1:12" ht="25.5" hidden="1">
      <c r="A189" s="140" t="s">
        <v>350</v>
      </c>
      <c r="B189" s="16"/>
      <c r="C189" s="16"/>
      <c r="D189" s="28" t="s">
        <v>356</v>
      </c>
      <c r="E189" s="208">
        <v>0</v>
      </c>
      <c r="F189" s="43">
        <v>0</v>
      </c>
      <c r="G189" s="43">
        <v>0</v>
      </c>
      <c r="H189" s="118" t="e">
        <f t="shared" si="5"/>
        <v>#DIV/0!</v>
      </c>
      <c r="I189" s="118">
        <f t="shared" si="4"/>
        <v>0</v>
      </c>
      <c r="J189" s="42"/>
      <c r="L189" s="98"/>
    </row>
    <row r="190" spans="1:12" ht="15" customHeight="1">
      <c r="A190" s="119" t="s">
        <v>29</v>
      </c>
      <c r="B190" s="120"/>
      <c r="C190" s="120">
        <v>75412</v>
      </c>
      <c r="D190" s="120"/>
      <c r="E190" s="202">
        <f>SUM(E193:E204)</f>
        <v>595220</v>
      </c>
      <c r="F190" s="123">
        <f>SUM(F191:F204)</f>
        <v>602520</v>
      </c>
      <c r="G190" s="123">
        <f>SUM(G191:G204)</f>
        <v>15639.31</v>
      </c>
      <c r="H190" s="90">
        <f t="shared" si="5"/>
        <v>0.02595649936931554</v>
      </c>
      <c r="I190" s="90">
        <f t="shared" si="4"/>
        <v>0.0012616517927290256</v>
      </c>
      <c r="J190" s="122"/>
      <c r="L190" s="98"/>
    </row>
    <row r="191" spans="1:12" s="89" customFormat="1" ht="27" customHeight="1" hidden="1">
      <c r="A191" s="29" t="s">
        <v>402</v>
      </c>
      <c r="B191" s="28"/>
      <c r="C191" s="28"/>
      <c r="D191" s="28" t="s">
        <v>351</v>
      </c>
      <c r="E191" s="200">
        <v>0</v>
      </c>
      <c r="F191" s="41">
        <v>0</v>
      </c>
      <c r="G191" s="41">
        <v>0</v>
      </c>
      <c r="H191" s="90" t="e">
        <f t="shared" si="5"/>
        <v>#DIV/0!</v>
      </c>
      <c r="I191" s="118">
        <f t="shared" si="4"/>
        <v>0</v>
      </c>
      <c r="J191" s="42"/>
      <c r="L191" s="128"/>
    </row>
    <row r="192" spans="1:12" s="89" customFormat="1" ht="12.75" customHeight="1">
      <c r="A192" s="29" t="s">
        <v>470</v>
      </c>
      <c r="B192" s="28"/>
      <c r="C192" s="28"/>
      <c r="D192" s="28" t="s">
        <v>95</v>
      </c>
      <c r="E192" s="200">
        <v>0</v>
      </c>
      <c r="F192" s="41">
        <v>3000</v>
      </c>
      <c r="G192" s="41">
        <v>0</v>
      </c>
      <c r="H192" s="118">
        <f t="shared" si="5"/>
        <v>0</v>
      </c>
      <c r="I192" s="118">
        <f t="shared" si="4"/>
        <v>0</v>
      </c>
      <c r="J192" s="42"/>
      <c r="L192" s="128"/>
    </row>
    <row r="193" spans="1:12" ht="12.75">
      <c r="A193" s="27" t="s">
        <v>23</v>
      </c>
      <c r="B193" s="18"/>
      <c r="C193" s="18"/>
      <c r="D193" s="28" t="s">
        <v>77</v>
      </c>
      <c r="E193" s="203">
        <v>10000</v>
      </c>
      <c r="F193" s="45">
        <v>10000</v>
      </c>
      <c r="G193" s="45">
        <v>0</v>
      </c>
      <c r="H193" s="118">
        <f t="shared" si="5"/>
        <v>0</v>
      </c>
      <c r="I193" s="118">
        <f t="shared" si="4"/>
        <v>0</v>
      </c>
      <c r="J193" s="42"/>
      <c r="L193" s="98"/>
    </row>
    <row r="194" spans="1:12" s="89" customFormat="1" ht="12.75">
      <c r="A194" s="23" t="s">
        <v>21</v>
      </c>
      <c r="B194" s="21"/>
      <c r="C194" s="21"/>
      <c r="D194" s="21" t="s">
        <v>78</v>
      </c>
      <c r="E194" s="206">
        <v>1720</v>
      </c>
      <c r="F194" s="42">
        <v>1720</v>
      </c>
      <c r="G194" s="42">
        <v>601.65</v>
      </c>
      <c r="H194" s="118">
        <f t="shared" si="5"/>
        <v>0.349796511627907</v>
      </c>
      <c r="I194" s="118">
        <f t="shared" si="4"/>
        <v>4.8536207869491576E-05</v>
      </c>
      <c r="J194" s="42"/>
      <c r="L194" s="128"/>
    </row>
    <row r="195" spans="1:12" s="94" customFormat="1" ht="12.75">
      <c r="A195" s="23" t="s">
        <v>159</v>
      </c>
      <c r="B195" s="21"/>
      <c r="C195" s="21"/>
      <c r="D195" s="21" t="s">
        <v>160</v>
      </c>
      <c r="E195" s="206">
        <v>10000</v>
      </c>
      <c r="F195" s="42">
        <v>10000</v>
      </c>
      <c r="G195" s="42">
        <v>4024.27</v>
      </c>
      <c r="H195" s="118">
        <f t="shared" si="5"/>
        <v>0.402427</v>
      </c>
      <c r="I195" s="118">
        <f t="shared" si="4"/>
        <v>0.0003246452343438193</v>
      </c>
      <c r="J195" s="42"/>
      <c r="L195" s="98"/>
    </row>
    <row r="196" spans="1:12" ht="12.75">
      <c r="A196" s="17" t="s">
        <v>9</v>
      </c>
      <c r="B196" s="18"/>
      <c r="C196" s="18"/>
      <c r="D196" s="18">
        <v>4210</v>
      </c>
      <c r="E196" s="203">
        <v>12000</v>
      </c>
      <c r="F196" s="52">
        <v>19300</v>
      </c>
      <c r="G196" s="38">
        <v>1843.36</v>
      </c>
      <c r="H196" s="118">
        <f t="shared" si="5"/>
        <v>0.09551088082901554</v>
      </c>
      <c r="I196" s="118">
        <f t="shared" si="4"/>
        <v>0.00014870722868495968</v>
      </c>
      <c r="J196" s="42"/>
      <c r="L196" s="98"/>
    </row>
    <row r="197" spans="1:12" ht="12.75">
      <c r="A197" s="17" t="s">
        <v>10</v>
      </c>
      <c r="B197" s="18"/>
      <c r="C197" s="18"/>
      <c r="D197" s="18">
        <v>4260</v>
      </c>
      <c r="E197" s="203">
        <v>10000</v>
      </c>
      <c r="F197" s="52">
        <v>10000</v>
      </c>
      <c r="G197" s="38">
        <v>1915.33</v>
      </c>
      <c r="H197" s="118">
        <f t="shared" si="5"/>
        <v>0.19153299999999998</v>
      </c>
      <c r="I197" s="118">
        <f aca="true" t="shared" si="8" ref="I197:I251">G197/12395900.43</f>
        <v>0.00015451318045154707</v>
      </c>
      <c r="J197" s="42"/>
      <c r="L197" s="98"/>
    </row>
    <row r="198" spans="1:12" ht="12.75">
      <c r="A198" s="27" t="s">
        <v>11</v>
      </c>
      <c r="B198" s="18"/>
      <c r="C198" s="18"/>
      <c r="D198" s="28" t="s">
        <v>132</v>
      </c>
      <c r="E198" s="203">
        <v>10000</v>
      </c>
      <c r="F198" s="52">
        <v>10000</v>
      </c>
      <c r="G198" s="38">
        <v>0</v>
      </c>
      <c r="H198" s="118">
        <f t="shared" si="5"/>
        <v>0</v>
      </c>
      <c r="I198" s="118">
        <f t="shared" si="8"/>
        <v>0</v>
      </c>
      <c r="J198" s="42"/>
      <c r="L198" s="98"/>
    </row>
    <row r="199" spans="1:12" ht="12.75">
      <c r="A199" s="27" t="s">
        <v>45</v>
      </c>
      <c r="B199" s="18"/>
      <c r="C199" s="18"/>
      <c r="D199" s="28" t="s">
        <v>134</v>
      </c>
      <c r="E199" s="203">
        <v>1000</v>
      </c>
      <c r="F199" s="52">
        <v>1000</v>
      </c>
      <c r="G199" s="38">
        <v>320</v>
      </c>
      <c r="H199" s="118">
        <f t="shared" si="5"/>
        <v>0.32</v>
      </c>
      <c r="I199" s="118">
        <f t="shared" si="8"/>
        <v>2.581498631802095E-05</v>
      </c>
      <c r="J199" s="42"/>
      <c r="L199" s="98"/>
    </row>
    <row r="200" spans="1:12" ht="12.75">
      <c r="A200" s="17" t="s">
        <v>12</v>
      </c>
      <c r="B200" s="18"/>
      <c r="C200" s="18"/>
      <c r="D200" s="18">
        <v>4300</v>
      </c>
      <c r="E200" s="203">
        <v>3500</v>
      </c>
      <c r="F200" s="52">
        <v>3500</v>
      </c>
      <c r="G200" s="38">
        <v>1668.96</v>
      </c>
      <c r="H200" s="118">
        <f t="shared" si="5"/>
        <v>0.4768457142857143</v>
      </c>
      <c r="I200" s="118">
        <f t="shared" si="8"/>
        <v>0.00013463806114163827</v>
      </c>
      <c r="J200" s="42"/>
      <c r="L200" s="98"/>
    </row>
    <row r="201" spans="1:12" ht="12.75" hidden="1">
      <c r="A201" s="29" t="s">
        <v>394</v>
      </c>
      <c r="B201" s="18"/>
      <c r="C201" s="18"/>
      <c r="D201" s="18" t="s">
        <v>194</v>
      </c>
      <c r="E201" s="203">
        <v>0</v>
      </c>
      <c r="F201" s="52">
        <v>0</v>
      </c>
      <c r="G201" s="38">
        <v>0</v>
      </c>
      <c r="H201" s="118" t="e">
        <f t="shared" si="5"/>
        <v>#DIV/0!</v>
      </c>
      <c r="I201" s="118">
        <f t="shared" si="8"/>
        <v>0</v>
      </c>
      <c r="J201" s="42"/>
      <c r="L201" s="98"/>
    </row>
    <row r="202" spans="1:12" ht="12.75">
      <c r="A202" s="17" t="s">
        <v>26</v>
      </c>
      <c r="B202" s="18"/>
      <c r="C202" s="18"/>
      <c r="D202" s="18">
        <v>4430</v>
      </c>
      <c r="E202" s="203">
        <v>7000</v>
      </c>
      <c r="F202" s="52">
        <v>4000</v>
      </c>
      <c r="G202" s="38">
        <v>647.74</v>
      </c>
      <c r="H202" s="118">
        <f t="shared" si="5"/>
        <v>0.161935</v>
      </c>
      <c r="I202" s="118">
        <f t="shared" si="8"/>
        <v>5.2254372617609034E-05</v>
      </c>
      <c r="J202" s="42"/>
      <c r="L202" s="98"/>
    </row>
    <row r="203" spans="1:12" ht="12.75">
      <c r="A203" s="133" t="s">
        <v>87</v>
      </c>
      <c r="B203" s="18"/>
      <c r="C203" s="18"/>
      <c r="D203" s="18" t="s">
        <v>86</v>
      </c>
      <c r="E203" s="203">
        <v>30000</v>
      </c>
      <c r="F203" s="52">
        <v>30000</v>
      </c>
      <c r="G203" s="38">
        <v>4618</v>
      </c>
      <c r="H203" s="118">
        <f t="shared" si="5"/>
        <v>0.15393333333333334</v>
      </c>
      <c r="I203" s="118">
        <f t="shared" si="8"/>
        <v>0.00037254252130193983</v>
      </c>
      <c r="J203" s="42"/>
      <c r="L203" s="98"/>
    </row>
    <row r="204" spans="1:12" ht="36">
      <c r="A204" s="133" t="s">
        <v>515</v>
      </c>
      <c r="B204" s="18"/>
      <c r="C204" s="18"/>
      <c r="D204" s="18" t="s">
        <v>516</v>
      </c>
      <c r="E204" s="203">
        <v>500000</v>
      </c>
      <c r="F204" s="52">
        <v>500000</v>
      </c>
      <c r="G204" s="38">
        <v>0</v>
      </c>
      <c r="H204" s="118">
        <f t="shared" si="5"/>
        <v>0</v>
      </c>
      <c r="I204" s="118">
        <f t="shared" si="8"/>
        <v>0</v>
      </c>
      <c r="J204" s="42"/>
      <c r="L204" s="98"/>
    </row>
    <row r="205" spans="1:12" ht="15" customHeight="1">
      <c r="A205" s="119" t="s">
        <v>30</v>
      </c>
      <c r="B205" s="120"/>
      <c r="C205" s="120">
        <v>75414</v>
      </c>
      <c r="D205" s="120"/>
      <c r="E205" s="202">
        <f>SUM(E206:E213)</f>
        <v>1050</v>
      </c>
      <c r="F205" s="123">
        <f>SUM(F206:F213)</f>
        <v>1050</v>
      </c>
      <c r="G205" s="123">
        <f>SUM(G206:G213)</f>
        <v>121.6</v>
      </c>
      <c r="H205" s="90">
        <f t="shared" si="5"/>
        <v>0.1158095238095238</v>
      </c>
      <c r="I205" s="90">
        <f t="shared" si="8"/>
        <v>9.80969480084796E-06</v>
      </c>
      <c r="J205" s="122"/>
      <c r="L205" s="98"/>
    </row>
    <row r="206" spans="1:12" ht="12.75">
      <c r="A206" s="27" t="s">
        <v>23</v>
      </c>
      <c r="B206" s="18"/>
      <c r="C206" s="18"/>
      <c r="D206" s="28" t="s">
        <v>77</v>
      </c>
      <c r="E206" s="200">
        <v>200</v>
      </c>
      <c r="F206" s="45">
        <v>200</v>
      </c>
      <c r="G206" s="41">
        <v>0</v>
      </c>
      <c r="H206" s="118">
        <f t="shared" si="5"/>
        <v>0</v>
      </c>
      <c r="I206" s="118">
        <f t="shared" si="8"/>
        <v>0</v>
      </c>
      <c r="J206" s="42"/>
      <c r="L206" s="98"/>
    </row>
    <row r="207" spans="1:12" ht="12.75">
      <c r="A207" s="27" t="s">
        <v>195</v>
      </c>
      <c r="B207" s="18"/>
      <c r="C207" s="18"/>
      <c r="D207" s="28" t="s">
        <v>160</v>
      </c>
      <c r="E207" s="203">
        <v>250</v>
      </c>
      <c r="F207" s="45">
        <v>250</v>
      </c>
      <c r="G207" s="41">
        <v>0</v>
      </c>
      <c r="H207" s="118">
        <f t="shared" si="5"/>
        <v>0</v>
      </c>
      <c r="I207" s="118">
        <f t="shared" si="8"/>
        <v>0</v>
      </c>
      <c r="J207" s="42"/>
      <c r="L207" s="98"/>
    </row>
    <row r="208" spans="1:12" s="89" customFormat="1" ht="12.75">
      <c r="A208" s="17" t="s">
        <v>9</v>
      </c>
      <c r="B208" s="18"/>
      <c r="C208" s="18"/>
      <c r="D208" s="18">
        <v>4210</v>
      </c>
      <c r="E208" s="203">
        <v>200</v>
      </c>
      <c r="F208" s="52">
        <v>200</v>
      </c>
      <c r="G208" s="38">
        <v>0</v>
      </c>
      <c r="H208" s="118">
        <f t="shared" si="5"/>
        <v>0</v>
      </c>
      <c r="I208" s="118">
        <f t="shared" si="8"/>
        <v>0</v>
      </c>
      <c r="J208" s="42"/>
      <c r="L208" s="128"/>
    </row>
    <row r="209" spans="1:12" ht="12.75">
      <c r="A209" s="17" t="s">
        <v>10</v>
      </c>
      <c r="B209" s="18"/>
      <c r="C209" s="18"/>
      <c r="D209" s="18" t="s">
        <v>149</v>
      </c>
      <c r="E209" s="203">
        <v>200</v>
      </c>
      <c r="F209" s="52">
        <v>200</v>
      </c>
      <c r="G209" s="38">
        <v>0</v>
      </c>
      <c r="H209" s="118">
        <f t="shared" si="5"/>
        <v>0</v>
      </c>
      <c r="I209" s="118">
        <f t="shared" si="8"/>
        <v>0</v>
      </c>
      <c r="J209" s="42"/>
      <c r="L209" s="98"/>
    </row>
    <row r="210" spans="1:12" ht="12.75" hidden="1">
      <c r="A210" s="27" t="s">
        <v>11</v>
      </c>
      <c r="B210" s="18"/>
      <c r="C210" s="18"/>
      <c r="D210" s="28" t="s">
        <v>132</v>
      </c>
      <c r="E210" s="203">
        <v>0</v>
      </c>
      <c r="F210" s="52">
        <v>0</v>
      </c>
      <c r="G210" s="38">
        <v>0</v>
      </c>
      <c r="H210" s="118" t="e">
        <f t="shared" si="5"/>
        <v>#DIV/0!</v>
      </c>
      <c r="I210" s="118">
        <f t="shared" si="8"/>
        <v>0</v>
      </c>
      <c r="J210" s="42"/>
      <c r="L210" s="98"/>
    </row>
    <row r="211" spans="1:12" ht="12.75">
      <c r="A211" s="17" t="s">
        <v>12</v>
      </c>
      <c r="B211" s="18"/>
      <c r="C211" s="18"/>
      <c r="D211" s="18">
        <v>4300</v>
      </c>
      <c r="E211" s="203">
        <v>200</v>
      </c>
      <c r="F211" s="52">
        <v>200</v>
      </c>
      <c r="G211" s="38">
        <v>121.6</v>
      </c>
      <c r="H211" s="118">
        <f t="shared" si="5"/>
        <v>0.608</v>
      </c>
      <c r="I211" s="118">
        <f t="shared" si="8"/>
        <v>9.80969480084796E-06</v>
      </c>
      <c r="J211" s="42"/>
      <c r="L211" s="98"/>
    </row>
    <row r="212" spans="1:12" ht="12.75" hidden="1">
      <c r="A212" s="17" t="s">
        <v>25</v>
      </c>
      <c r="B212" s="18"/>
      <c r="C212" s="18"/>
      <c r="D212" s="18" t="s">
        <v>81</v>
      </c>
      <c r="E212" s="203">
        <v>0</v>
      </c>
      <c r="F212" s="52">
        <v>0</v>
      </c>
      <c r="G212" s="38">
        <v>0</v>
      </c>
      <c r="H212" s="118" t="e">
        <f t="shared" si="5"/>
        <v>#DIV/0!</v>
      </c>
      <c r="I212" s="118">
        <f t="shared" si="8"/>
        <v>0</v>
      </c>
      <c r="J212" s="42"/>
      <c r="L212" s="98"/>
    </row>
    <row r="213" spans="1:12" ht="25.5" hidden="1">
      <c r="A213" s="29" t="s">
        <v>196</v>
      </c>
      <c r="B213" s="18"/>
      <c r="C213" s="18"/>
      <c r="D213" s="28" t="s">
        <v>193</v>
      </c>
      <c r="E213" s="203">
        <v>0</v>
      </c>
      <c r="F213" s="52">
        <v>0</v>
      </c>
      <c r="G213" s="38">
        <v>0</v>
      </c>
      <c r="H213" s="118" t="e">
        <f t="shared" si="5"/>
        <v>#DIV/0!</v>
      </c>
      <c r="I213" s="118">
        <f t="shared" si="8"/>
        <v>0</v>
      </c>
      <c r="J213" s="42"/>
      <c r="L213" s="98"/>
    </row>
    <row r="214" spans="1:12" ht="15" customHeight="1">
      <c r="A214" s="87" t="s">
        <v>352</v>
      </c>
      <c r="B214" s="120"/>
      <c r="C214" s="120" t="s">
        <v>353</v>
      </c>
      <c r="D214" s="120"/>
      <c r="E214" s="202">
        <f>SUM(E215:E217)</f>
        <v>5244</v>
      </c>
      <c r="F214" s="123">
        <f>SUM(F215:F217)</f>
        <v>5187</v>
      </c>
      <c r="G214" s="123">
        <f>SUM(G215:G217)</f>
        <v>5185.1900000000005</v>
      </c>
      <c r="H214" s="90">
        <f t="shared" si="5"/>
        <v>0.9996510507036824</v>
      </c>
      <c r="I214" s="90">
        <f t="shared" si="8"/>
        <v>0.0004182987778323096</v>
      </c>
      <c r="J214" s="122"/>
      <c r="L214" s="98"/>
    </row>
    <row r="215" spans="1:12" s="89" customFormat="1" ht="12.75">
      <c r="A215" s="17" t="s">
        <v>20</v>
      </c>
      <c r="B215" s="18"/>
      <c r="C215" s="18"/>
      <c r="D215" s="18" t="s">
        <v>164</v>
      </c>
      <c r="E215" s="203">
        <v>4378</v>
      </c>
      <c r="F215" s="52">
        <v>4334</v>
      </c>
      <c r="G215" s="38">
        <v>4334</v>
      </c>
      <c r="H215" s="118">
        <f t="shared" si="5"/>
        <v>1</v>
      </c>
      <c r="I215" s="118">
        <f t="shared" si="8"/>
        <v>0.00034963172094469624</v>
      </c>
      <c r="J215" s="42"/>
      <c r="L215" s="128"/>
    </row>
    <row r="216" spans="1:12" ht="12.75">
      <c r="A216" s="17" t="s">
        <v>21</v>
      </c>
      <c r="B216" s="18"/>
      <c r="C216" s="18"/>
      <c r="D216" s="18">
        <v>4110</v>
      </c>
      <c r="E216" s="203">
        <v>756</v>
      </c>
      <c r="F216" s="52">
        <v>746</v>
      </c>
      <c r="G216" s="38">
        <v>745.01</v>
      </c>
      <c r="H216" s="118">
        <f t="shared" si="5"/>
        <v>0.9986729222520108</v>
      </c>
      <c r="I216" s="227">
        <f t="shared" si="8"/>
        <v>6.010132173996496E-05</v>
      </c>
      <c r="J216" s="42"/>
      <c r="L216" s="98"/>
    </row>
    <row r="217" spans="1:12" ht="12.75">
      <c r="A217" s="17" t="s">
        <v>22</v>
      </c>
      <c r="B217" s="18"/>
      <c r="C217" s="18"/>
      <c r="D217" s="18">
        <v>4120</v>
      </c>
      <c r="E217" s="203">
        <v>110</v>
      </c>
      <c r="F217" s="52">
        <v>107</v>
      </c>
      <c r="G217" s="38">
        <v>106.18</v>
      </c>
      <c r="H217" s="118">
        <f t="shared" si="5"/>
        <v>0.9923364485981309</v>
      </c>
      <c r="I217" s="118">
        <f t="shared" si="8"/>
        <v>8.565735147648326E-06</v>
      </c>
      <c r="J217" s="42"/>
      <c r="L217" s="98"/>
    </row>
    <row r="218" spans="1:12" ht="15" customHeight="1">
      <c r="A218" s="87" t="s">
        <v>15</v>
      </c>
      <c r="B218" s="120"/>
      <c r="C218" s="120" t="s">
        <v>253</v>
      </c>
      <c r="D218" s="120"/>
      <c r="E218" s="202">
        <f>SUM(E219:E223)</f>
        <v>2560</v>
      </c>
      <c r="F218" s="121">
        <f>SUM(F219:F223)</f>
        <v>2560</v>
      </c>
      <c r="G218" s="121">
        <f>SUM(G219:G223)</f>
        <v>496.07000000000005</v>
      </c>
      <c r="H218" s="90">
        <f t="shared" si="5"/>
        <v>0.19377734375000003</v>
      </c>
      <c r="I218" s="90">
        <f t="shared" si="8"/>
        <v>4.001887582118954E-05</v>
      </c>
      <c r="J218" s="122"/>
      <c r="L218" s="98"/>
    </row>
    <row r="219" spans="1:12" ht="12.75">
      <c r="A219" s="29" t="s">
        <v>197</v>
      </c>
      <c r="B219" s="120"/>
      <c r="C219" s="120"/>
      <c r="D219" s="28" t="s">
        <v>80</v>
      </c>
      <c r="E219" s="200">
        <v>800</v>
      </c>
      <c r="F219" s="38">
        <v>800</v>
      </c>
      <c r="G219" s="38">
        <v>0</v>
      </c>
      <c r="H219" s="118">
        <f t="shared" si="5"/>
        <v>0</v>
      </c>
      <c r="I219" s="118">
        <f t="shared" si="8"/>
        <v>0</v>
      </c>
      <c r="J219" s="122"/>
      <c r="L219" s="98"/>
    </row>
    <row r="220" spans="1:12" ht="12.75">
      <c r="A220" s="27" t="s">
        <v>11</v>
      </c>
      <c r="B220" s="18"/>
      <c r="C220" s="18"/>
      <c r="D220" s="28" t="s">
        <v>132</v>
      </c>
      <c r="E220" s="203">
        <v>1500</v>
      </c>
      <c r="F220" s="52">
        <v>1369</v>
      </c>
      <c r="G220" s="38">
        <v>400.98</v>
      </c>
      <c r="H220" s="118">
        <f t="shared" si="5"/>
        <v>0.29289992695398104</v>
      </c>
      <c r="I220" s="118">
        <f t="shared" si="8"/>
        <v>3.234779129312513E-05</v>
      </c>
      <c r="J220" s="42"/>
      <c r="L220" s="98"/>
    </row>
    <row r="221" spans="1:12" ht="12.75">
      <c r="A221" s="27" t="s">
        <v>12</v>
      </c>
      <c r="B221" s="18"/>
      <c r="C221" s="18"/>
      <c r="D221" s="28" t="s">
        <v>76</v>
      </c>
      <c r="E221" s="203">
        <v>200</v>
      </c>
      <c r="F221" s="52">
        <v>200</v>
      </c>
      <c r="G221" s="38">
        <v>0</v>
      </c>
      <c r="H221" s="118">
        <f t="shared" si="5"/>
        <v>0</v>
      </c>
      <c r="I221" s="118">
        <f t="shared" si="8"/>
        <v>0</v>
      </c>
      <c r="J221" s="42"/>
      <c r="L221" s="98"/>
    </row>
    <row r="222" spans="1:12" ht="12.75">
      <c r="A222" s="19" t="s">
        <v>26</v>
      </c>
      <c r="B222" s="18"/>
      <c r="C222" s="18"/>
      <c r="D222" s="28" t="s">
        <v>89</v>
      </c>
      <c r="E222" s="203">
        <v>60</v>
      </c>
      <c r="F222" s="52">
        <v>191</v>
      </c>
      <c r="G222" s="38">
        <v>95.09</v>
      </c>
      <c r="H222" s="118">
        <f t="shared" si="5"/>
        <v>0.4978534031413613</v>
      </c>
      <c r="I222" s="118">
        <f t="shared" si="8"/>
        <v>7.671084528064413E-06</v>
      </c>
      <c r="J222" s="42"/>
      <c r="L222" s="98"/>
    </row>
    <row r="223" spans="1:12" ht="12.75" hidden="1">
      <c r="A223" s="27" t="s">
        <v>87</v>
      </c>
      <c r="B223" s="18"/>
      <c r="C223" s="18"/>
      <c r="D223" s="28" t="s">
        <v>86</v>
      </c>
      <c r="E223" s="203">
        <v>0</v>
      </c>
      <c r="F223" s="52">
        <v>0</v>
      </c>
      <c r="G223" s="38">
        <v>0</v>
      </c>
      <c r="H223" s="118" t="e">
        <f t="shared" si="5"/>
        <v>#DIV/0!</v>
      </c>
      <c r="I223" s="118">
        <f t="shared" si="8"/>
        <v>0</v>
      </c>
      <c r="J223" s="42"/>
      <c r="L223" s="98"/>
    </row>
    <row r="224" spans="1:12" ht="18" customHeight="1">
      <c r="A224" s="20" t="s">
        <v>38</v>
      </c>
      <c r="B224" s="16">
        <v>757</v>
      </c>
      <c r="C224" s="16"/>
      <c r="D224" s="16"/>
      <c r="E224" s="201">
        <f>SUM(E225,E227)</f>
        <v>224908</v>
      </c>
      <c r="F224" s="39">
        <f>SUM(F225,F227)</f>
        <v>193039</v>
      </c>
      <c r="G224" s="39">
        <f>SUM(G225,G227)</f>
        <v>44344.45</v>
      </c>
      <c r="H224" s="30">
        <f t="shared" si="5"/>
        <v>0.22971757002471002</v>
      </c>
      <c r="I224" s="30">
        <f t="shared" si="8"/>
        <v>0.0035773480313442624</v>
      </c>
      <c r="J224" s="83">
        <v>0</v>
      </c>
      <c r="L224" s="98"/>
    </row>
    <row r="225" spans="1:12" s="89" customFormat="1" ht="25.5">
      <c r="A225" s="87" t="s">
        <v>319</v>
      </c>
      <c r="B225" s="120"/>
      <c r="C225" s="120">
        <v>75702</v>
      </c>
      <c r="D225" s="120"/>
      <c r="E225" s="202">
        <f>SUM(E226:E226)</f>
        <v>124028</v>
      </c>
      <c r="F225" s="121">
        <f>SUM(F226:F226)</f>
        <v>117379</v>
      </c>
      <c r="G225" s="121">
        <f>SUM(G226:G226)</f>
        <v>44344.45</v>
      </c>
      <c r="H225" s="90">
        <f aca="true" t="shared" si="9" ref="H225:H270">G225/F225</f>
        <v>0.37778861636238165</v>
      </c>
      <c r="I225" s="90">
        <f t="shared" si="8"/>
        <v>0.0035773480313442624</v>
      </c>
      <c r="J225" s="122"/>
      <c r="L225" s="128"/>
    </row>
    <row r="226" spans="1:12" ht="38.25">
      <c r="A226" s="29" t="s">
        <v>354</v>
      </c>
      <c r="B226" s="18"/>
      <c r="C226" s="18"/>
      <c r="D226" s="28" t="s">
        <v>355</v>
      </c>
      <c r="E226" s="203">
        <v>124028</v>
      </c>
      <c r="F226" s="52">
        <v>117379</v>
      </c>
      <c r="G226" s="38">
        <v>44344.45</v>
      </c>
      <c r="H226" s="118">
        <f t="shared" si="9"/>
        <v>0.37778861636238165</v>
      </c>
      <c r="I226" s="118">
        <f t="shared" si="8"/>
        <v>0.0035773480313442624</v>
      </c>
      <c r="J226" s="42"/>
      <c r="L226" s="98"/>
    </row>
    <row r="227" spans="1:12" s="89" customFormat="1" ht="25.5">
      <c r="A227" s="87" t="s">
        <v>320</v>
      </c>
      <c r="B227" s="120"/>
      <c r="C227" s="120">
        <v>75704</v>
      </c>
      <c r="D227" s="120"/>
      <c r="E227" s="202">
        <f>E228</f>
        <v>100880</v>
      </c>
      <c r="F227" s="202">
        <f>F228</f>
        <v>75660</v>
      </c>
      <c r="G227" s="202">
        <f>G228</f>
        <v>0</v>
      </c>
      <c r="H227" s="90">
        <f t="shared" si="9"/>
        <v>0</v>
      </c>
      <c r="I227" s="90">
        <f t="shared" si="8"/>
        <v>0</v>
      </c>
      <c r="J227" s="122"/>
      <c r="L227" s="128"/>
    </row>
    <row r="228" spans="1:12" ht="12.75" customHeight="1">
      <c r="A228" s="29" t="s">
        <v>178</v>
      </c>
      <c r="B228" s="18"/>
      <c r="C228" s="18"/>
      <c r="D228" s="18" t="s">
        <v>404</v>
      </c>
      <c r="E228" s="203">
        <v>100880</v>
      </c>
      <c r="F228" s="52">
        <v>75660</v>
      </c>
      <c r="G228" s="38">
        <v>0</v>
      </c>
      <c r="H228" s="118">
        <f t="shared" si="9"/>
        <v>0</v>
      </c>
      <c r="I228" s="118">
        <f t="shared" si="8"/>
        <v>0</v>
      </c>
      <c r="J228" s="42"/>
      <c r="L228" s="98"/>
    </row>
    <row r="229" spans="1:12" ht="18" customHeight="1">
      <c r="A229" s="20" t="s">
        <v>39</v>
      </c>
      <c r="B229" s="16">
        <v>758</v>
      </c>
      <c r="C229" s="16"/>
      <c r="D229" s="16"/>
      <c r="E229" s="201">
        <f>SUM(E230)</f>
        <v>200000</v>
      </c>
      <c r="F229" s="201">
        <f>SUM(F230)</f>
        <v>101503</v>
      </c>
      <c r="G229" s="201">
        <f>SUM(G230)</f>
        <v>0</v>
      </c>
      <c r="H229" s="30">
        <f t="shared" si="9"/>
        <v>0</v>
      </c>
      <c r="I229" s="30">
        <f t="shared" si="8"/>
        <v>0</v>
      </c>
      <c r="J229" s="42"/>
      <c r="L229" s="98"/>
    </row>
    <row r="230" spans="1:12" s="89" customFormat="1" ht="15" customHeight="1">
      <c r="A230" s="87" t="s">
        <v>41</v>
      </c>
      <c r="B230" s="120"/>
      <c r="C230" s="120" t="s">
        <v>82</v>
      </c>
      <c r="D230" s="120"/>
      <c r="E230" s="202">
        <v>200000</v>
      </c>
      <c r="F230" s="202">
        <f>F231+F232</f>
        <v>101503</v>
      </c>
      <c r="G230" s="202">
        <f>G231+G232</f>
        <v>0</v>
      </c>
      <c r="H230" s="90">
        <f t="shared" si="9"/>
        <v>0</v>
      </c>
      <c r="I230" s="90">
        <f t="shared" si="8"/>
        <v>0</v>
      </c>
      <c r="J230" s="122"/>
      <c r="L230" s="128"/>
    </row>
    <row r="231" spans="1:12" ht="12.75">
      <c r="A231" s="19" t="s">
        <v>42</v>
      </c>
      <c r="B231" s="18"/>
      <c r="C231" s="18"/>
      <c r="D231" s="18" t="s">
        <v>83</v>
      </c>
      <c r="E231" s="203">
        <v>200000</v>
      </c>
      <c r="F231" s="52">
        <v>101503</v>
      </c>
      <c r="G231" s="38">
        <v>0</v>
      </c>
      <c r="H231" s="118">
        <f t="shared" si="9"/>
        <v>0</v>
      </c>
      <c r="I231" s="227">
        <f t="shared" si="8"/>
        <v>0</v>
      </c>
      <c r="J231" s="42"/>
      <c r="L231" s="100"/>
    </row>
    <row r="232" spans="1:12" ht="12.75" hidden="1">
      <c r="A232" s="19" t="s">
        <v>456</v>
      </c>
      <c r="B232" s="18"/>
      <c r="C232" s="18"/>
      <c r="D232" s="18" t="s">
        <v>457</v>
      </c>
      <c r="E232" s="203">
        <v>0</v>
      </c>
      <c r="F232" s="52">
        <v>0</v>
      </c>
      <c r="G232" s="38">
        <v>0</v>
      </c>
      <c r="H232" s="118" t="e">
        <f t="shared" si="9"/>
        <v>#DIV/0!</v>
      </c>
      <c r="I232" s="118">
        <f t="shared" si="8"/>
        <v>0</v>
      </c>
      <c r="J232" s="42"/>
      <c r="L232" s="100"/>
    </row>
    <row r="233" spans="1:12" ht="15" customHeight="1">
      <c r="A233" s="20" t="s">
        <v>43</v>
      </c>
      <c r="B233" s="16">
        <v>801</v>
      </c>
      <c r="C233" s="16"/>
      <c r="D233" s="16"/>
      <c r="E233" s="201">
        <f>SUM(E234,E257,E281,E299,E306,E319,E334,E341,E366,E353)</f>
        <v>6878026.25</v>
      </c>
      <c r="F233" s="201">
        <f>SUM(F234,F257,F281,F299,F306,F319,F334,F341,F366,F353,F363)</f>
        <v>7186086.94</v>
      </c>
      <c r="G233" s="201">
        <f>SUM(G234,G257,G281,G299,G306,G319,G334,G341,G366,G353)</f>
        <v>3476035.6199999996</v>
      </c>
      <c r="H233" s="30">
        <f t="shared" si="9"/>
        <v>0.4837174458120318</v>
      </c>
      <c r="I233" s="30">
        <f t="shared" si="8"/>
        <v>0.28041816241016704</v>
      </c>
      <c r="J233" s="83">
        <v>0</v>
      </c>
      <c r="L233" s="100"/>
    </row>
    <row r="234" spans="1:12" s="89" customFormat="1" ht="15" customHeight="1">
      <c r="A234" s="87" t="s">
        <v>44</v>
      </c>
      <c r="B234" s="120"/>
      <c r="C234" s="120">
        <v>80101</v>
      </c>
      <c r="D234" s="120"/>
      <c r="E234" s="202">
        <f>SUM(E235:E256)</f>
        <v>2924306</v>
      </c>
      <c r="F234" s="123">
        <f>SUM(F235:F256)</f>
        <v>2974951</v>
      </c>
      <c r="G234" s="123">
        <f>SUM(G235:G256)</f>
        <v>1457681.55</v>
      </c>
      <c r="H234" s="90">
        <f t="shared" si="9"/>
        <v>0.4899850619388353</v>
      </c>
      <c r="I234" s="90">
        <f t="shared" si="8"/>
        <v>0.11759384146650491</v>
      </c>
      <c r="J234" s="122"/>
      <c r="L234" s="130"/>
    </row>
    <row r="235" spans="1:12" ht="12.75">
      <c r="A235" s="31" t="s">
        <v>314</v>
      </c>
      <c r="B235" s="18"/>
      <c r="C235" s="18"/>
      <c r="D235" s="18">
        <v>3020</v>
      </c>
      <c r="E235" s="203">
        <v>6690</v>
      </c>
      <c r="F235" s="52">
        <v>6690</v>
      </c>
      <c r="G235" s="38">
        <v>3530.42</v>
      </c>
      <c r="H235" s="118">
        <f t="shared" si="9"/>
        <v>0.5277159940209267</v>
      </c>
      <c r="I235" s="118">
        <f t="shared" si="8"/>
        <v>0.000284805449990211</v>
      </c>
      <c r="J235" s="42"/>
      <c r="L235" s="100"/>
    </row>
    <row r="236" spans="1:12" ht="12.75">
      <c r="A236" s="19" t="s">
        <v>19</v>
      </c>
      <c r="B236" s="18"/>
      <c r="C236" s="18"/>
      <c r="D236" s="18">
        <v>4010</v>
      </c>
      <c r="E236" s="203">
        <v>1954651</v>
      </c>
      <c r="F236" s="52">
        <v>1987221</v>
      </c>
      <c r="G236" s="38">
        <v>891833.6</v>
      </c>
      <c r="H236" s="118">
        <f t="shared" si="9"/>
        <v>0.4487843073316959</v>
      </c>
      <c r="I236" s="118">
        <f t="shared" si="8"/>
        <v>0.07194585056859802</v>
      </c>
      <c r="J236" s="42"/>
      <c r="K236" s="142"/>
      <c r="L236" s="100"/>
    </row>
    <row r="237" spans="1:12" s="89" customFormat="1" ht="12.75">
      <c r="A237" s="19" t="s">
        <v>20</v>
      </c>
      <c r="B237" s="18"/>
      <c r="C237" s="18"/>
      <c r="D237" s="18">
        <v>4040</v>
      </c>
      <c r="E237" s="203">
        <v>145630</v>
      </c>
      <c r="F237" s="52">
        <v>140056</v>
      </c>
      <c r="G237" s="38">
        <v>140055.9</v>
      </c>
      <c r="H237" s="118">
        <f t="shared" si="9"/>
        <v>0.9999992859998857</v>
      </c>
      <c r="I237" s="118">
        <f t="shared" si="8"/>
        <v>0.011298566069556594</v>
      </c>
      <c r="J237" s="42"/>
      <c r="L237" s="130"/>
    </row>
    <row r="238" spans="1:12" ht="12.75">
      <c r="A238" s="19" t="s">
        <v>21</v>
      </c>
      <c r="B238" s="18"/>
      <c r="C238" s="18"/>
      <c r="D238" s="18">
        <v>4110</v>
      </c>
      <c r="E238" s="203">
        <v>355149</v>
      </c>
      <c r="F238" s="52">
        <v>363218</v>
      </c>
      <c r="G238" s="38">
        <v>157011.79</v>
      </c>
      <c r="H238" s="118">
        <f t="shared" si="9"/>
        <v>0.43227976036429916</v>
      </c>
      <c r="I238" s="118">
        <f t="shared" si="8"/>
        <v>0.012666428783181184</v>
      </c>
      <c r="J238" s="42"/>
      <c r="L238" s="100"/>
    </row>
    <row r="239" spans="1:12" ht="12.75">
      <c r="A239" s="19" t="s">
        <v>22</v>
      </c>
      <c r="B239" s="18"/>
      <c r="C239" s="18"/>
      <c r="D239" s="18">
        <v>4120</v>
      </c>
      <c r="E239" s="203">
        <v>36356</v>
      </c>
      <c r="F239" s="52">
        <v>36571</v>
      </c>
      <c r="G239" s="38">
        <v>14627.57</v>
      </c>
      <c r="H239" s="118">
        <f t="shared" si="9"/>
        <v>0.3999773044215362</v>
      </c>
      <c r="I239" s="118">
        <f t="shared" si="8"/>
        <v>0.001180032873174668</v>
      </c>
      <c r="J239" s="42"/>
      <c r="L239" s="100"/>
    </row>
    <row r="240" spans="1:12" ht="12.75">
      <c r="A240" s="29" t="s">
        <v>159</v>
      </c>
      <c r="B240" s="18"/>
      <c r="C240" s="18"/>
      <c r="D240" s="28" t="s">
        <v>160</v>
      </c>
      <c r="E240" s="203">
        <v>1500</v>
      </c>
      <c r="F240" s="52">
        <v>1500</v>
      </c>
      <c r="G240" s="38">
        <v>0</v>
      </c>
      <c r="H240" s="118">
        <f t="shared" si="9"/>
        <v>0</v>
      </c>
      <c r="I240" s="118">
        <f t="shared" si="8"/>
        <v>0</v>
      </c>
      <c r="J240" s="42"/>
      <c r="L240" s="100"/>
    </row>
    <row r="241" spans="1:12" ht="12.75">
      <c r="A241" s="29" t="s">
        <v>387</v>
      </c>
      <c r="B241" s="18"/>
      <c r="C241" s="18"/>
      <c r="D241" s="28" t="s">
        <v>383</v>
      </c>
      <c r="E241" s="203">
        <v>1000</v>
      </c>
      <c r="F241" s="52">
        <v>1000</v>
      </c>
      <c r="G241" s="38">
        <v>0</v>
      </c>
      <c r="H241" s="118">
        <f t="shared" si="9"/>
        <v>0</v>
      </c>
      <c r="I241" s="118">
        <f t="shared" si="8"/>
        <v>0</v>
      </c>
      <c r="J241" s="42"/>
      <c r="L241" s="100"/>
    </row>
    <row r="242" spans="1:12" ht="12.75">
      <c r="A242" s="19" t="s">
        <v>9</v>
      </c>
      <c r="B242" s="18"/>
      <c r="C242" s="18"/>
      <c r="D242" s="18">
        <v>4210</v>
      </c>
      <c r="E242" s="203">
        <v>162241</v>
      </c>
      <c r="F242" s="52">
        <v>162241</v>
      </c>
      <c r="G242" s="38">
        <v>72105.66</v>
      </c>
      <c r="H242" s="118">
        <f t="shared" si="9"/>
        <v>0.44443550027428336</v>
      </c>
      <c r="I242" s="118">
        <f t="shared" si="8"/>
        <v>0.0058168957073495954</v>
      </c>
      <c r="J242" s="42"/>
      <c r="L242" s="100"/>
    </row>
    <row r="243" spans="1:12" ht="12.75">
      <c r="A243" s="29" t="s">
        <v>427</v>
      </c>
      <c r="B243" s="18"/>
      <c r="C243" s="18"/>
      <c r="D243" s="18">
        <v>4240</v>
      </c>
      <c r="E243" s="203">
        <v>5000</v>
      </c>
      <c r="F243" s="52">
        <v>5000</v>
      </c>
      <c r="G243" s="38">
        <v>2653.95</v>
      </c>
      <c r="H243" s="118">
        <f t="shared" si="9"/>
        <v>0.53079</v>
      </c>
      <c r="I243" s="118">
        <f t="shared" si="8"/>
        <v>0.00021409900918347403</v>
      </c>
      <c r="J243" s="42"/>
      <c r="L243" s="100"/>
    </row>
    <row r="244" spans="1:12" ht="12.75">
      <c r="A244" s="19" t="s">
        <v>10</v>
      </c>
      <c r="B244" s="18"/>
      <c r="C244" s="18"/>
      <c r="D244" s="18">
        <v>4260</v>
      </c>
      <c r="E244" s="203">
        <v>31000</v>
      </c>
      <c r="F244" s="52">
        <v>39000</v>
      </c>
      <c r="G244" s="38">
        <v>18952.28</v>
      </c>
      <c r="H244" s="118">
        <f t="shared" si="9"/>
        <v>0.4859558974358974</v>
      </c>
      <c r="I244" s="118">
        <f t="shared" si="8"/>
        <v>0.001528915152797819</v>
      </c>
      <c r="J244" s="42"/>
      <c r="L244" s="100"/>
    </row>
    <row r="245" spans="1:12" ht="12.75">
      <c r="A245" s="19" t="s">
        <v>11</v>
      </c>
      <c r="B245" s="18"/>
      <c r="C245" s="18"/>
      <c r="D245" s="18">
        <v>4270</v>
      </c>
      <c r="E245" s="203">
        <v>7500</v>
      </c>
      <c r="F245" s="52">
        <v>7500</v>
      </c>
      <c r="G245" s="38">
        <v>2630.17</v>
      </c>
      <c r="H245" s="118">
        <f t="shared" si="9"/>
        <v>0.35068933333333335</v>
      </c>
      <c r="I245" s="118">
        <f t="shared" si="8"/>
        <v>0.00021218063301271613</v>
      </c>
      <c r="J245" s="42"/>
      <c r="L245" s="100"/>
    </row>
    <row r="246" spans="1:12" ht="12.75">
      <c r="A246" s="19" t="s">
        <v>45</v>
      </c>
      <c r="B246" s="18"/>
      <c r="C246" s="18"/>
      <c r="D246" s="18">
        <v>4280</v>
      </c>
      <c r="E246" s="203">
        <v>1470</v>
      </c>
      <c r="F246" s="52">
        <v>1470</v>
      </c>
      <c r="G246" s="38">
        <v>340</v>
      </c>
      <c r="H246" s="118">
        <f t="shared" si="9"/>
        <v>0.23129251700680273</v>
      </c>
      <c r="I246" s="118">
        <f t="shared" si="8"/>
        <v>2.742842296289726E-05</v>
      </c>
      <c r="J246" s="42"/>
      <c r="L246" s="100"/>
    </row>
    <row r="247" spans="1:12" ht="12.75">
      <c r="A247" s="19" t="s">
        <v>12</v>
      </c>
      <c r="B247" s="18"/>
      <c r="C247" s="18"/>
      <c r="D247" s="18">
        <v>4300</v>
      </c>
      <c r="E247" s="203">
        <v>24050</v>
      </c>
      <c r="F247" s="52">
        <v>24050</v>
      </c>
      <c r="G247" s="38">
        <v>13136.82</v>
      </c>
      <c r="H247" s="118">
        <f t="shared" si="9"/>
        <v>0.5462295218295218</v>
      </c>
      <c r="I247" s="118">
        <f t="shared" si="8"/>
        <v>0.0010597713392572</v>
      </c>
      <c r="J247" s="42"/>
      <c r="L247" s="100"/>
    </row>
    <row r="248" spans="1:12" ht="25.5">
      <c r="A248" s="19" t="s">
        <v>323</v>
      </c>
      <c r="B248" s="18"/>
      <c r="C248" s="18"/>
      <c r="D248" s="18" t="s">
        <v>172</v>
      </c>
      <c r="E248" s="203">
        <v>32300</v>
      </c>
      <c r="F248" s="52">
        <v>32300</v>
      </c>
      <c r="G248" s="38">
        <v>16518.97</v>
      </c>
      <c r="H248" s="118">
        <f t="shared" si="9"/>
        <v>0.5114232198142415</v>
      </c>
      <c r="I248" s="118">
        <f t="shared" si="8"/>
        <v>0.0013326155766806205</v>
      </c>
      <c r="J248" s="42"/>
      <c r="L248" s="100"/>
    </row>
    <row r="249" spans="1:12" ht="12.75">
      <c r="A249" s="29" t="s">
        <v>394</v>
      </c>
      <c r="B249" s="18"/>
      <c r="C249" s="18"/>
      <c r="D249" s="28" t="s">
        <v>194</v>
      </c>
      <c r="E249" s="203">
        <v>4200</v>
      </c>
      <c r="F249" s="52">
        <v>4200</v>
      </c>
      <c r="G249" s="38">
        <v>1940.1</v>
      </c>
      <c r="H249" s="118">
        <f t="shared" si="9"/>
        <v>0.4619285714285714</v>
      </c>
      <c r="I249" s="118">
        <f t="shared" si="8"/>
        <v>0.0001565114217362264</v>
      </c>
      <c r="J249" s="42"/>
      <c r="L249" s="100"/>
    </row>
    <row r="250" spans="1:12" ht="12.75">
      <c r="A250" s="19" t="s">
        <v>25</v>
      </c>
      <c r="B250" s="18"/>
      <c r="C250" s="18"/>
      <c r="D250" s="18">
        <v>4410</v>
      </c>
      <c r="E250" s="203">
        <v>3700</v>
      </c>
      <c r="F250" s="52">
        <v>3700</v>
      </c>
      <c r="G250" s="38">
        <v>1866.12</v>
      </c>
      <c r="H250" s="118">
        <f t="shared" si="9"/>
        <v>0.5043567567567567</v>
      </c>
      <c r="I250" s="118">
        <f t="shared" si="8"/>
        <v>0.00015054331958682892</v>
      </c>
      <c r="J250" s="42"/>
      <c r="L250" s="100"/>
    </row>
    <row r="251" spans="1:12" ht="12.75">
      <c r="A251" s="19" t="s">
        <v>26</v>
      </c>
      <c r="B251" s="18"/>
      <c r="C251" s="18"/>
      <c r="D251" s="18">
        <v>4430</v>
      </c>
      <c r="E251" s="203">
        <v>8000</v>
      </c>
      <c r="F251" s="52">
        <v>10365</v>
      </c>
      <c r="G251" s="38">
        <v>7578.47</v>
      </c>
      <c r="H251" s="118">
        <f t="shared" si="9"/>
        <v>0.731159671972986</v>
      </c>
      <c r="I251" s="118">
        <f t="shared" si="8"/>
        <v>0.0006113690605047882</v>
      </c>
      <c r="J251" s="42"/>
      <c r="L251" s="100"/>
    </row>
    <row r="252" spans="1:12" ht="12.75">
      <c r="A252" s="19" t="s">
        <v>316</v>
      </c>
      <c r="B252" s="18"/>
      <c r="C252" s="18"/>
      <c r="D252" s="18">
        <v>4440</v>
      </c>
      <c r="E252" s="203">
        <v>138869</v>
      </c>
      <c r="F252" s="52">
        <v>143869</v>
      </c>
      <c r="G252" s="38">
        <v>109781.22</v>
      </c>
      <c r="H252" s="118">
        <f t="shared" si="9"/>
        <v>0.7630637593922249</v>
      </c>
      <c r="I252" s="118">
        <f aca="true" t="shared" si="10" ref="I252:I311">G252/12395900.43</f>
        <v>0.0088562521633614</v>
      </c>
      <c r="J252" s="42"/>
      <c r="L252" s="100"/>
    </row>
    <row r="253" spans="1:12" ht="12.75">
      <c r="A253" s="19" t="s">
        <v>458</v>
      </c>
      <c r="B253" s="18"/>
      <c r="C253" s="18"/>
      <c r="D253" s="18" t="s">
        <v>93</v>
      </c>
      <c r="E253" s="203">
        <v>500</v>
      </c>
      <c r="F253" s="52">
        <v>500</v>
      </c>
      <c r="G253" s="38">
        <v>0</v>
      </c>
      <c r="H253" s="118">
        <f t="shared" si="9"/>
        <v>0</v>
      </c>
      <c r="I253" s="118">
        <f t="shared" si="10"/>
        <v>0</v>
      </c>
      <c r="J253" s="42"/>
      <c r="L253" s="100"/>
    </row>
    <row r="254" spans="1:12" ht="25.5">
      <c r="A254" s="29" t="s">
        <v>207</v>
      </c>
      <c r="B254" s="18"/>
      <c r="C254" s="18"/>
      <c r="D254" s="28" t="s">
        <v>193</v>
      </c>
      <c r="E254" s="203">
        <v>4500</v>
      </c>
      <c r="F254" s="52">
        <v>4500</v>
      </c>
      <c r="G254" s="38">
        <v>3118.51</v>
      </c>
      <c r="H254" s="118">
        <f t="shared" si="9"/>
        <v>0.6930022222222223</v>
      </c>
      <c r="I254" s="118">
        <f t="shared" si="10"/>
        <v>0.000251575915570661</v>
      </c>
      <c r="J254" s="42"/>
      <c r="L254" s="100"/>
    </row>
    <row r="255" spans="1:12" ht="12.75" hidden="1">
      <c r="A255" s="29" t="s">
        <v>87</v>
      </c>
      <c r="B255" s="18"/>
      <c r="C255" s="18"/>
      <c r="D255" s="28" t="s">
        <v>86</v>
      </c>
      <c r="E255" s="203">
        <v>0</v>
      </c>
      <c r="F255" s="52">
        <v>0</v>
      </c>
      <c r="G255" s="38">
        <v>0</v>
      </c>
      <c r="H255" s="118" t="e">
        <f>G255/F255</f>
        <v>#DIV/0!</v>
      </c>
      <c r="I255" s="118">
        <f t="shared" si="10"/>
        <v>0</v>
      </c>
      <c r="J255" s="42"/>
      <c r="L255" s="100"/>
    </row>
    <row r="256" spans="1:12" ht="12.75" hidden="1">
      <c r="A256" s="29" t="s">
        <v>363</v>
      </c>
      <c r="B256" s="18"/>
      <c r="C256" s="18"/>
      <c r="D256" s="28" t="s">
        <v>144</v>
      </c>
      <c r="E256" s="203">
        <v>0</v>
      </c>
      <c r="F256" s="52">
        <v>0</v>
      </c>
      <c r="G256" s="38">
        <v>0</v>
      </c>
      <c r="H256" s="118"/>
      <c r="I256" s="118">
        <f t="shared" si="10"/>
        <v>0</v>
      </c>
      <c r="J256" s="42"/>
      <c r="L256" s="100"/>
    </row>
    <row r="257" spans="1:12" ht="15" customHeight="1">
      <c r="A257" s="87" t="s">
        <v>179</v>
      </c>
      <c r="B257" s="120"/>
      <c r="C257" s="120" t="s">
        <v>121</v>
      </c>
      <c r="D257" s="120"/>
      <c r="E257" s="202">
        <f>SUM(E258:E279)</f>
        <v>1918180</v>
      </c>
      <c r="F257" s="123">
        <f>SUM(F258,F259,F260,F261,F262,F263,F264,F265,F266,F267,F268,F269,F270,F271,F272,F273,F274,F275,F276,F277:F278:F279,F280)</f>
        <v>2052191</v>
      </c>
      <c r="G257" s="123">
        <f>SUM(G258,G259,G260,G261,G262,G263,G264,G265,G266,G267,G268,G269,G270,G271,G272,G273,G274,G275,G276,G278,G277,G279,G280)</f>
        <v>962353.9700000001</v>
      </c>
      <c r="H257" s="90">
        <f t="shared" si="9"/>
        <v>0.46893976730236125</v>
      </c>
      <c r="I257" s="90">
        <f t="shared" si="10"/>
        <v>0.07763485802700983</v>
      </c>
      <c r="J257" s="122"/>
      <c r="L257" s="100"/>
    </row>
    <row r="258" spans="1:12" ht="24" customHeight="1">
      <c r="A258" s="133" t="s">
        <v>483</v>
      </c>
      <c r="B258" s="28"/>
      <c r="C258" s="28"/>
      <c r="D258" s="28" t="s">
        <v>94</v>
      </c>
      <c r="E258" s="200">
        <v>6000</v>
      </c>
      <c r="F258" s="38">
        <v>6000</v>
      </c>
      <c r="G258" s="38">
        <v>3481.68</v>
      </c>
      <c r="H258" s="227">
        <f t="shared" si="9"/>
        <v>0.58028</v>
      </c>
      <c r="I258" s="118">
        <f t="shared" si="10"/>
        <v>0.0002808735048866474</v>
      </c>
      <c r="J258" s="42"/>
      <c r="L258" s="100"/>
    </row>
    <row r="259" spans="1:12" ht="12.75">
      <c r="A259" s="31" t="s">
        <v>314</v>
      </c>
      <c r="B259" s="18"/>
      <c r="C259" s="18"/>
      <c r="D259" s="28" t="s">
        <v>95</v>
      </c>
      <c r="E259" s="203">
        <v>5953</v>
      </c>
      <c r="F259" s="52">
        <v>5953</v>
      </c>
      <c r="G259" s="38">
        <v>2680.62</v>
      </c>
      <c r="H259" s="118">
        <f t="shared" si="9"/>
        <v>0.45029732907777587</v>
      </c>
      <c r="I259" s="118">
        <f t="shared" si="10"/>
        <v>0.0002162505269494166</v>
      </c>
      <c r="J259" s="42"/>
      <c r="L259" s="100"/>
    </row>
    <row r="260" spans="1:12" ht="12.75">
      <c r="A260" s="19" t="s">
        <v>19</v>
      </c>
      <c r="B260" s="18"/>
      <c r="C260" s="18"/>
      <c r="D260" s="18">
        <v>4010</v>
      </c>
      <c r="E260" s="203">
        <v>1117528</v>
      </c>
      <c r="F260" s="52">
        <v>1149081</v>
      </c>
      <c r="G260" s="38">
        <v>576854.19</v>
      </c>
      <c r="H260" s="118">
        <f t="shared" si="9"/>
        <v>0.502013513407671</v>
      </c>
      <c r="I260" s="118">
        <f t="shared" si="10"/>
        <v>0.04653588444482205</v>
      </c>
      <c r="J260" s="42"/>
      <c r="L260" s="100"/>
    </row>
    <row r="261" spans="1:12" s="89" customFormat="1" ht="12.75">
      <c r="A261" s="19" t="s">
        <v>20</v>
      </c>
      <c r="B261" s="18"/>
      <c r="C261" s="18"/>
      <c r="D261" s="18">
        <v>4040</v>
      </c>
      <c r="E261" s="203">
        <v>77330</v>
      </c>
      <c r="F261" s="52">
        <v>79548</v>
      </c>
      <c r="G261" s="38">
        <v>79547.03</v>
      </c>
      <c r="H261" s="118">
        <f t="shared" si="9"/>
        <v>0.9999878061044903</v>
      </c>
      <c r="I261" s="118">
        <f t="shared" si="10"/>
        <v>0.006417204659653756</v>
      </c>
      <c r="J261" s="42"/>
      <c r="L261" s="130"/>
    </row>
    <row r="262" spans="1:12" s="94" customFormat="1" ht="12.75">
      <c r="A262" s="19" t="s">
        <v>21</v>
      </c>
      <c r="B262" s="18"/>
      <c r="C262" s="18"/>
      <c r="D262" s="18">
        <v>4110</v>
      </c>
      <c r="E262" s="203">
        <v>203279</v>
      </c>
      <c r="F262" s="52">
        <v>209138</v>
      </c>
      <c r="G262" s="38">
        <v>102326.06</v>
      </c>
      <c r="H262" s="118">
        <f t="shared" si="9"/>
        <v>0.48927531103864436</v>
      </c>
      <c r="I262" s="118">
        <f t="shared" si="10"/>
        <v>0.008254830746490596</v>
      </c>
      <c r="J262" s="42"/>
      <c r="L262" s="100"/>
    </row>
    <row r="263" spans="1:12" ht="12.75">
      <c r="A263" s="19" t="s">
        <v>22</v>
      </c>
      <c r="B263" s="18"/>
      <c r="C263" s="18"/>
      <c r="D263" s="18">
        <v>4120</v>
      </c>
      <c r="E263" s="203">
        <v>23885</v>
      </c>
      <c r="F263" s="52">
        <v>24886</v>
      </c>
      <c r="G263" s="38">
        <v>12160.66</v>
      </c>
      <c r="H263" s="118">
        <f t="shared" si="9"/>
        <v>0.4886546652736478</v>
      </c>
      <c r="I263" s="118">
        <f t="shared" si="10"/>
        <v>0.000981022723494077</v>
      </c>
      <c r="J263" s="42"/>
      <c r="L263" s="100"/>
    </row>
    <row r="264" spans="1:12" ht="12.75" hidden="1">
      <c r="A264" s="29" t="s">
        <v>159</v>
      </c>
      <c r="B264" s="18"/>
      <c r="C264" s="18"/>
      <c r="D264" s="18" t="s">
        <v>160</v>
      </c>
      <c r="E264" s="203">
        <v>0</v>
      </c>
      <c r="F264" s="52">
        <v>0</v>
      </c>
      <c r="G264" s="38">
        <v>0</v>
      </c>
      <c r="H264" s="118" t="e">
        <f t="shared" si="9"/>
        <v>#DIV/0!</v>
      </c>
      <c r="I264" s="118">
        <f t="shared" si="10"/>
        <v>0</v>
      </c>
      <c r="J264" s="42"/>
      <c r="L264" s="100"/>
    </row>
    <row r="265" spans="1:12" ht="12.75">
      <c r="A265" s="29" t="s">
        <v>387</v>
      </c>
      <c r="B265" s="18"/>
      <c r="C265" s="18"/>
      <c r="D265" s="28" t="s">
        <v>383</v>
      </c>
      <c r="E265" s="203">
        <v>300</v>
      </c>
      <c r="F265" s="52">
        <v>300</v>
      </c>
      <c r="G265" s="38">
        <v>200</v>
      </c>
      <c r="H265" s="118">
        <f t="shared" si="9"/>
        <v>0.6666666666666666</v>
      </c>
      <c r="I265" s="118">
        <f t="shared" si="10"/>
        <v>1.6134366448763093E-05</v>
      </c>
      <c r="J265" s="42"/>
      <c r="L265" s="100"/>
    </row>
    <row r="266" spans="1:12" ht="12.75">
      <c r="A266" s="19" t="s">
        <v>9</v>
      </c>
      <c r="B266" s="18"/>
      <c r="C266" s="18"/>
      <c r="D266" s="18">
        <v>4210</v>
      </c>
      <c r="E266" s="203">
        <v>89314</v>
      </c>
      <c r="F266" s="52">
        <v>124314</v>
      </c>
      <c r="G266" s="38">
        <v>34970.73</v>
      </c>
      <c r="H266" s="118">
        <f t="shared" si="9"/>
        <v>0.28130966745499303</v>
      </c>
      <c r="I266" s="118">
        <f t="shared" si="10"/>
        <v>0.002821152864003765</v>
      </c>
      <c r="J266" s="42"/>
      <c r="L266" s="100"/>
    </row>
    <row r="267" spans="1:12" ht="12.75">
      <c r="A267" s="29" t="s">
        <v>57</v>
      </c>
      <c r="B267" s="18"/>
      <c r="C267" s="18"/>
      <c r="D267" s="28" t="s">
        <v>135</v>
      </c>
      <c r="E267" s="203">
        <v>78822</v>
      </c>
      <c r="F267" s="52">
        <v>78822</v>
      </c>
      <c r="G267" s="38">
        <v>38922.51</v>
      </c>
      <c r="H267" s="118">
        <f t="shared" si="9"/>
        <v>0.49380261855827057</v>
      </c>
      <c r="I267" s="118">
        <f t="shared" si="10"/>
        <v>0.00313995019722823</v>
      </c>
      <c r="J267" s="42"/>
      <c r="L267" s="100"/>
    </row>
    <row r="268" spans="1:12" ht="12.75">
      <c r="A268" s="29" t="s">
        <v>427</v>
      </c>
      <c r="B268" s="18"/>
      <c r="C268" s="18"/>
      <c r="D268" s="18">
        <v>4240</v>
      </c>
      <c r="E268" s="203">
        <v>6000</v>
      </c>
      <c r="F268" s="52">
        <v>15380</v>
      </c>
      <c r="G268" s="38">
        <v>10173.34</v>
      </c>
      <c r="H268" s="118">
        <f t="shared" si="9"/>
        <v>0.6614655396618986</v>
      </c>
      <c r="I268" s="118">
        <f t="shared" si="10"/>
        <v>0.0008207019778392977</v>
      </c>
      <c r="J268" s="42"/>
      <c r="L268" s="100"/>
    </row>
    <row r="269" spans="1:12" ht="12.75">
      <c r="A269" s="29" t="s">
        <v>10</v>
      </c>
      <c r="B269" s="18"/>
      <c r="C269" s="18"/>
      <c r="D269" s="28" t="s">
        <v>149</v>
      </c>
      <c r="E269" s="203">
        <v>33700</v>
      </c>
      <c r="F269" s="52">
        <v>39470</v>
      </c>
      <c r="G269" s="38">
        <v>18827.74</v>
      </c>
      <c r="H269" s="118">
        <f t="shared" si="9"/>
        <v>0.4770139346338992</v>
      </c>
      <c r="I269" s="118">
        <f t="shared" si="10"/>
        <v>0.0015188682828101744</v>
      </c>
      <c r="J269" s="42"/>
      <c r="L269" s="100"/>
    </row>
    <row r="270" spans="1:12" ht="12.75">
      <c r="A270" s="19" t="s">
        <v>11</v>
      </c>
      <c r="B270" s="18"/>
      <c r="C270" s="18"/>
      <c r="D270" s="18">
        <v>4270</v>
      </c>
      <c r="E270" s="203">
        <v>14700</v>
      </c>
      <c r="F270" s="52">
        <v>14700</v>
      </c>
      <c r="G270" s="38">
        <v>2465.78</v>
      </c>
      <c r="H270" s="118">
        <f t="shared" si="9"/>
        <v>0.16774013605442178</v>
      </c>
      <c r="I270" s="118">
        <f t="shared" si="10"/>
        <v>0.0001989189905101553</v>
      </c>
      <c r="J270" s="42"/>
      <c r="L270" s="100"/>
    </row>
    <row r="271" spans="1:12" ht="12.75">
      <c r="A271" s="19" t="s">
        <v>45</v>
      </c>
      <c r="B271" s="18"/>
      <c r="C271" s="18"/>
      <c r="D271" s="18">
        <v>4280</v>
      </c>
      <c r="E271" s="203">
        <v>980</v>
      </c>
      <c r="F271" s="52">
        <v>980</v>
      </c>
      <c r="G271" s="38">
        <v>285</v>
      </c>
      <c r="H271" s="118">
        <f aca="true" t="shared" si="11" ref="H271:H305">G271/F271</f>
        <v>0.29081632653061223</v>
      </c>
      <c r="I271" s="118">
        <f t="shared" si="10"/>
        <v>2.2991472189487408E-05</v>
      </c>
      <c r="J271" s="42"/>
      <c r="L271" s="100"/>
    </row>
    <row r="272" spans="1:12" ht="12.75">
      <c r="A272" s="19" t="s">
        <v>12</v>
      </c>
      <c r="B272" s="18"/>
      <c r="C272" s="18"/>
      <c r="D272" s="18">
        <v>4300</v>
      </c>
      <c r="E272" s="203">
        <v>13600</v>
      </c>
      <c r="F272" s="52">
        <v>13600</v>
      </c>
      <c r="G272" s="38">
        <v>7484.08</v>
      </c>
      <c r="H272" s="118">
        <f t="shared" si="11"/>
        <v>0.5503</v>
      </c>
      <c r="I272" s="118">
        <f t="shared" si="10"/>
        <v>0.0006037544462592945</v>
      </c>
      <c r="J272" s="42"/>
      <c r="L272" s="100"/>
    </row>
    <row r="273" spans="1:12" ht="12.75">
      <c r="A273" s="29" t="s">
        <v>395</v>
      </c>
      <c r="B273" s="18"/>
      <c r="C273" s="18"/>
      <c r="D273" s="28" t="s">
        <v>194</v>
      </c>
      <c r="E273" s="203">
        <v>1900</v>
      </c>
      <c r="F273" s="52">
        <v>1900</v>
      </c>
      <c r="G273" s="38">
        <v>702.56</v>
      </c>
      <c r="H273" s="118">
        <f t="shared" si="11"/>
        <v>0.3697684210526315</v>
      </c>
      <c r="I273" s="118">
        <f t="shared" si="10"/>
        <v>5.667680246121499E-05</v>
      </c>
      <c r="J273" s="42"/>
      <c r="L273" s="100"/>
    </row>
    <row r="274" spans="1:12" ht="12.75">
      <c r="A274" s="19" t="s">
        <v>25</v>
      </c>
      <c r="B274" s="18"/>
      <c r="C274" s="18"/>
      <c r="D274" s="18">
        <v>4410</v>
      </c>
      <c r="E274" s="203">
        <v>300</v>
      </c>
      <c r="F274" s="52">
        <v>300</v>
      </c>
      <c r="G274" s="38">
        <v>0</v>
      </c>
      <c r="H274" s="118">
        <f t="shared" si="11"/>
        <v>0</v>
      </c>
      <c r="I274" s="118">
        <f t="shared" si="10"/>
        <v>0</v>
      </c>
      <c r="J274" s="42"/>
      <c r="L274" s="100"/>
    </row>
    <row r="275" spans="1:12" ht="12.75">
      <c r="A275" s="19" t="s">
        <v>26</v>
      </c>
      <c r="B275" s="18"/>
      <c r="C275" s="18"/>
      <c r="D275" s="18">
        <v>4430</v>
      </c>
      <c r="E275" s="203">
        <v>7000</v>
      </c>
      <c r="F275" s="52">
        <v>6230</v>
      </c>
      <c r="G275" s="38">
        <v>4490.03</v>
      </c>
      <c r="H275" s="118">
        <f t="shared" si="11"/>
        <v>0.7207110754414124</v>
      </c>
      <c r="I275" s="118">
        <f t="shared" si="10"/>
        <v>0.00036221894692969875</v>
      </c>
      <c r="J275" s="42"/>
      <c r="L275" s="100"/>
    </row>
    <row r="276" spans="1:12" ht="12.75">
      <c r="A276" s="19" t="s">
        <v>316</v>
      </c>
      <c r="B276" s="18"/>
      <c r="C276" s="18"/>
      <c r="D276" s="18">
        <v>4440</v>
      </c>
      <c r="E276" s="203">
        <v>78689</v>
      </c>
      <c r="F276" s="52">
        <v>78689</v>
      </c>
      <c r="G276" s="38">
        <v>57624.96</v>
      </c>
      <c r="H276" s="118">
        <f t="shared" si="11"/>
        <v>0.732312775610314</v>
      </c>
      <c r="I276" s="118">
        <f t="shared" si="10"/>
        <v>0.004648711106176577</v>
      </c>
      <c r="J276" s="42"/>
      <c r="L276" s="100"/>
    </row>
    <row r="277" spans="1:12" ht="12.75">
      <c r="A277" s="19" t="s">
        <v>517</v>
      </c>
      <c r="B277" s="18"/>
      <c r="C277" s="18"/>
      <c r="D277" s="18" t="s">
        <v>209</v>
      </c>
      <c r="E277" s="203">
        <v>300</v>
      </c>
      <c r="F277" s="52">
        <v>300</v>
      </c>
      <c r="G277" s="38">
        <v>0</v>
      </c>
      <c r="H277" s="118">
        <f t="shared" si="11"/>
        <v>0</v>
      </c>
      <c r="I277" s="118">
        <f t="shared" si="10"/>
        <v>0</v>
      </c>
      <c r="J277" s="42"/>
      <c r="L277" s="100"/>
    </row>
    <row r="278" spans="1:12" ht="25.5">
      <c r="A278" s="29" t="s">
        <v>212</v>
      </c>
      <c r="B278" s="18"/>
      <c r="C278" s="18"/>
      <c r="D278" s="28" t="s">
        <v>193</v>
      </c>
      <c r="E278" s="203">
        <v>600</v>
      </c>
      <c r="F278" s="52">
        <v>600</v>
      </c>
      <c r="G278" s="38">
        <v>357</v>
      </c>
      <c r="H278" s="118">
        <f t="shared" si="11"/>
        <v>0.595</v>
      </c>
      <c r="I278" s="118">
        <f t="shared" si="10"/>
        <v>2.879984411104212E-05</v>
      </c>
      <c r="J278" s="42"/>
      <c r="L278" s="100"/>
    </row>
    <row r="279" spans="1:12" ht="12.75">
      <c r="A279" s="29" t="s">
        <v>87</v>
      </c>
      <c r="B279" s="18"/>
      <c r="C279" s="18"/>
      <c r="D279" s="28" t="s">
        <v>86</v>
      </c>
      <c r="E279" s="203">
        <v>158000</v>
      </c>
      <c r="F279" s="52">
        <v>187000</v>
      </c>
      <c r="G279" s="38">
        <v>8800</v>
      </c>
      <c r="H279" s="118">
        <f t="shared" si="11"/>
        <v>0.047058823529411764</v>
      </c>
      <c r="I279" s="118">
        <f t="shared" si="10"/>
        <v>0.0007099121237455761</v>
      </c>
      <c r="J279" s="42"/>
      <c r="L279" s="100"/>
    </row>
    <row r="280" spans="1:12" ht="12.75">
      <c r="A280" s="29" t="s">
        <v>524</v>
      </c>
      <c r="B280" s="18"/>
      <c r="C280" s="18"/>
      <c r="D280" s="28" t="s">
        <v>144</v>
      </c>
      <c r="E280" s="203">
        <v>0</v>
      </c>
      <c r="F280" s="52">
        <v>15000</v>
      </c>
      <c r="G280" s="38">
        <v>0</v>
      </c>
      <c r="H280" s="118">
        <f t="shared" si="11"/>
        <v>0</v>
      </c>
      <c r="I280" s="118">
        <f t="shared" si="10"/>
        <v>0</v>
      </c>
      <c r="J280" s="42"/>
      <c r="L280" s="100"/>
    </row>
    <row r="281" spans="1:12" ht="15" customHeight="1">
      <c r="A281" s="87" t="s">
        <v>46</v>
      </c>
      <c r="B281" s="120"/>
      <c r="C281" s="120" t="s">
        <v>180</v>
      </c>
      <c r="D281" s="120"/>
      <c r="E281" s="202">
        <f>SUM(E282:E298)</f>
        <v>856925</v>
      </c>
      <c r="F281" s="202">
        <f>SUM(F282:F298)</f>
        <v>770704</v>
      </c>
      <c r="G281" s="121">
        <f>SUM(G282:G298)</f>
        <v>369302.2100000001</v>
      </c>
      <c r="H281" s="90">
        <f t="shared" si="11"/>
        <v>0.47917515673981204</v>
      </c>
      <c r="I281" s="90">
        <f t="shared" si="10"/>
        <v>0.029792285932390316</v>
      </c>
      <c r="J281" s="122"/>
      <c r="L281" s="100"/>
    </row>
    <row r="282" spans="1:12" ht="12.75">
      <c r="A282" s="29" t="s">
        <v>314</v>
      </c>
      <c r="B282" s="18"/>
      <c r="C282" s="28"/>
      <c r="D282" s="28" t="s">
        <v>95</v>
      </c>
      <c r="E282" s="203">
        <v>2502</v>
      </c>
      <c r="F282" s="52">
        <v>2502</v>
      </c>
      <c r="G282" s="38">
        <v>1394.23</v>
      </c>
      <c r="H282" s="118">
        <f t="shared" si="11"/>
        <v>0.55724620303757</v>
      </c>
      <c r="I282" s="118">
        <f t="shared" si="10"/>
        <v>0.00011247508866929484</v>
      </c>
      <c r="J282" s="42"/>
      <c r="L282" s="100"/>
    </row>
    <row r="283" spans="1:12" ht="12.75">
      <c r="A283" s="19" t="s">
        <v>19</v>
      </c>
      <c r="B283" s="18"/>
      <c r="C283" s="18"/>
      <c r="D283" s="18">
        <v>4010</v>
      </c>
      <c r="E283" s="203">
        <v>577314</v>
      </c>
      <c r="F283" s="52">
        <v>523771</v>
      </c>
      <c r="G283" s="38">
        <v>226660.36</v>
      </c>
      <c r="H283" s="118">
        <f t="shared" si="11"/>
        <v>0.4327470593064526</v>
      </c>
      <c r="I283" s="118">
        <f t="shared" si="10"/>
        <v>0.01828510653824282</v>
      </c>
      <c r="J283" s="42"/>
      <c r="L283" s="100"/>
    </row>
    <row r="284" spans="1:12" s="89" customFormat="1" ht="12.75">
      <c r="A284" s="29" t="s">
        <v>20</v>
      </c>
      <c r="B284" s="18"/>
      <c r="C284" s="18"/>
      <c r="D284" s="28" t="s">
        <v>164</v>
      </c>
      <c r="E284" s="203">
        <v>46770</v>
      </c>
      <c r="F284" s="52">
        <v>42876</v>
      </c>
      <c r="G284" s="38">
        <v>42875.94</v>
      </c>
      <c r="H284" s="118">
        <f t="shared" si="11"/>
        <v>0.9999986006157291</v>
      </c>
      <c r="I284" s="118">
        <f t="shared" si="10"/>
        <v>0.0034588806389758975</v>
      </c>
      <c r="J284" s="42"/>
      <c r="L284" s="130"/>
    </row>
    <row r="285" spans="1:12" ht="12.75">
      <c r="A285" s="19" t="s">
        <v>21</v>
      </c>
      <c r="B285" s="18"/>
      <c r="C285" s="18"/>
      <c r="D285" s="18">
        <v>4110</v>
      </c>
      <c r="E285" s="203">
        <v>105070</v>
      </c>
      <c r="F285" s="52">
        <v>94744</v>
      </c>
      <c r="G285" s="38">
        <v>41589.45</v>
      </c>
      <c r="H285" s="118">
        <f t="shared" si="11"/>
        <v>0.438966583635903</v>
      </c>
      <c r="I285" s="118">
        <f t="shared" si="10"/>
        <v>0.003355097133512551</v>
      </c>
      <c r="J285" s="42"/>
      <c r="L285" s="100"/>
    </row>
    <row r="286" spans="1:12" ht="12.75">
      <c r="A286" s="19" t="s">
        <v>22</v>
      </c>
      <c r="B286" s="18"/>
      <c r="C286" s="18"/>
      <c r="D286" s="18">
        <v>4120</v>
      </c>
      <c r="E286" s="203">
        <v>11487</v>
      </c>
      <c r="F286" s="52">
        <v>10294</v>
      </c>
      <c r="G286" s="38">
        <v>4858.56</v>
      </c>
      <c r="H286" s="118">
        <f t="shared" si="11"/>
        <v>0.47197979405478924</v>
      </c>
      <c r="I286" s="118">
        <f t="shared" si="10"/>
        <v>0.0003919489372665121</v>
      </c>
      <c r="J286" s="42"/>
      <c r="L286" s="100"/>
    </row>
    <row r="287" spans="1:12" ht="12.75">
      <c r="A287" s="29" t="s">
        <v>387</v>
      </c>
      <c r="B287" s="18"/>
      <c r="C287" s="18"/>
      <c r="D287" s="28" t="s">
        <v>383</v>
      </c>
      <c r="E287" s="203">
        <v>1000</v>
      </c>
      <c r="F287" s="52">
        <v>1000</v>
      </c>
      <c r="G287" s="38">
        <v>700</v>
      </c>
      <c r="H287" s="118">
        <f t="shared" si="11"/>
        <v>0.7</v>
      </c>
      <c r="I287" s="118">
        <f t="shared" si="10"/>
        <v>5.647028257067083E-05</v>
      </c>
      <c r="J287" s="42"/>
      <c r="L287" s="100"/>
    </row>
    <row r="288" spans="1:12" ht="12.75">
      <c r="A288" s="19" t="s">
        <v>9</v>
      </c>
      <c r="B288" s="18"/>
      <c r="C288" s="18"/>
      <c r="D288" s="18">
        <v>4210</v>
      </c>
      <c r="E288" s="203">
        <v>42644</v>
      </c>
      <c r="F288" s="52">
        <v>36544</v>
      </c>
      <c r="G288" s="38">
        <v>16734.28</v>
      </c>
      <c r="H288" s="118">
        <f t="shared" si="11"/>
        <v>0.45792140980735546</v>
      </c>
      <c r="I288" s="118">
        <f t="shared" si="10"/>
        <v>0.0013499850288810362</v>
      </c>
      <c r="J288" s="42"/>
      <c r="L288" s="100"/>
    </row>
    <row r="289" spans="1:12" ht="12.75">
      <c r="A289" s="29" t="s">
        <v>427</v>
      </c>
      <c r="B289" s="18"/>
      <c r="C289" s="18"/>
      <c r="D289" s="18">
        <v>4240</v>
      </c>
      <c r="E289" s="203">
        <v>1900</v>
      </c>
      <c r="F289" s="52">
        <v>1900</v>
      </c>
      <c r="G289" s="38">
        <v>715.4</v>
      </c>
      <c r="H289" s="118">
        <f t="shared" si="11"/>
        <v>0.37652631578947365</v>
      </c>
      <c r="I289" s="118">
        <f t="shared" si="10"/>
        <v>5.771262878722558E-05</v>
      </c>
      <c r="J289" s="42"/>
      <c r="L289" s="100"/>
    </row>
    <row r="290" spans="1:12" ht="12.75">
      <c r="A290" s="29" t="s">
        <v>10</v>
      </c>
      <c r="B290" s="18"/>
      <c r="C290" s="18"/>
      <c r="D290" s="28" t="s">
        <v>149</v>
      </c>
      <c r="E290" s="203">
        <v>14800</v>
      </c>
      <c r="F290" s="52">
        <v>10247</v>
      </c>
      <c r="G290" s="38">
        <v>4115.81</v>
      </c>
      <c r="H290" s="118">
        <f t="shared" si="11"/>
        <v>0.4016599980482093</v>
      </c>
      <c r="I290" s="118">
        <f t="shared" si="10"/>
        <v>0.0003320299338674182</v>
      </c>
      <c r="J290" s="42"/>
      <c r="L290" s="100"/>
    </row>
    <row r="291" spans="1:12" ht="12.75">
      <c r="A291" s="19" t="s">
        <v>11</v>
      </c>
      <c r="B291" s="18"/>
      <c r="C291" s="18"/>
      <c r="D291" s="18">
        <v>4270</v>
      </c>
      <c r="E291" s="203">
        <v>1700</v>
      </c>
      <c r="F291" s="52">
        <v>1700</v>
      </c>
      <c r="G291" s="38">
        <v>44.76</v>
      </c>
      <c r="H291" s="118">
        <f t="shared" si="11"/>
        <v>0.026329411764705882</v>
      </c>
      <c r="I291" s="118">
        <f t="shared" si="10"/>
        <v>3.61087121123318E-06</v>
      </c>
      <c r="J291" s="42"/>
      <c r="L291" s="100"/>
    </row>
    <row r="292" spans="1:12" ht="12.75">
      <c r="A292" s="19" t="s">
        <v>45</v>
      </c>
      <c r="B292" s="18"/>
      <c r="C292" s="18"/>
      <c r="D292" s="18">
        <v>4280</v>
      </c>
      <c r="E292" s="203">
        <v>280</v>
      </c>
      <c r="F292" s="52">
        <v>280</v>
      </c>
      <c r="G292" s="38">
        <v>70</v>
      </c>
      <c r="H292" s="118">
        <f t="shared" si="11"/>
        <v>0.25</v>
      </c>
      <c r="I292" s="118">
        <f t="shared" si="10"/>
        <v>5.647028257067083E-06</v>
      </c>
      <c r="J292" s="42"/>
      <c r="L292" s="100"/>
    </row>
    <row r="293" spans="1:12" ht="12.75">
      <c r="A293" s="19" t="s">
        <v>12</v>
      </c>
      <c r="B293" s="18"/>
      <c r="C293" s="18"/>
      <c r="D293" s="18">
        <v>4300</v>
      </c>
      <c r="E293" s="203">
        <v>7550</v>
      </c>
      <c r="F293" s="52">
        <v>7550</v>
      </c>
      <c r="G293" s="38">
        <v>4743.64</v>
      </c>
      <c r="H293" s="118">
        <f t="shared" si="11"/>
        <v>0.6282966887417218</v>
      </c>
      <c r="I293" s="118">
        <f t="shared" si="10"/>
        <v>0.00038267813030505284</v>
      </c>
      <c r="J293" s="42"/>
      <c r="L293" s="100"/>
    </row>
    <row r="294" spans="1:12" ht="25.5">
      <c r="A294" s="19" t="s">
        <v>323</v>
      </c>
      <c r="B294" s="18"/>
      <c r="C294" s="18"/>
      <c r="D294" s="18" t="s">
        <v>172</v>
      </c>
      <c r="E294" s="203">
        <v>6500</v>
      </c>
      <c r="F294" s="52">
        <v>6500</v>
      </c>
      <c r="G294" s="38">
        <v>3468.73</v>
      </c>
      <c r="H294" s="118">
        <f t="shared" si="11"/>
        <v>0.5336507692307693</v>
      </c>
      <c r="I294" s="118">
        <f t="shared" si="10"/>
        <v>0.00027982880465909004</v>
      </c>
      <c r="J294" s="42"/>
      <c r="L294" s="100"/>
    </row>
    <row r="295" spans="1:12" ht="12.75">
      <c r="A295" s="19" t="s">
        <v>25</v>
      </c>
      <c r="B295" s="18"/>
      <c r="C295" s="18"/>
      <c r="D295" s="18">
        <v>4410</v>
      </c>
      <c r="E295" s="203">
        <v>600</v>
      </c>
      <c r="F295" s="52">
        <v>600</v>
      </c>
      <c r="G295" s="38">
        <v>33.6</v>
      </c>
      <c r="H295" s="118">
        <f t="shared" si="11"/>
        <v>0.056</v>
      </c>
      <c r="I295" s="118">
        <f t="shared" si="10"/>
        <v>2.7105735633922E-06</v>
      </c>
      <c r="J295" s="42"/>
      <c r="L295" s="100"/>
    </row>
    <row r="296" spans="1:12" ht="12.75">
      <c r="A296" s="19" t="s">
        <v>26</v>
      </c>
      <c r="B296" s="18"/>
      <c r="C296" s="18"/>
      <c r="D296" s="18">
        <v>4430</v>
      </c>
      <c r="E296" s="203">
        <v>4000</v>
      </c>
      <c r="F296" s="52">
        <v>2388</v>
      </c>
      <c r="G296" s="38">
        <v>1733.5</v>
      </c>
      <c r="H296" s="118">
        <f t="shared" si="11"/>
        <v>0.7259212730318257</v>
      </c>
      <c r="I296" s="118">
        <f t="shared" si="10"/>
        <v>0.00013984462119465412</v>
      </c>
      <c r="J296" s="42"/>
      <c r="L296" s="100"/>
    </row>
    <row r="297" spans="1:12" ht="12.75">
      <c r="A297" s="19" t="s">
        <v>316</v>
      </c>
      <c r="B297" s="18"/>
      <c r="C297" s="18"/>
      <c r="D297" s="18">
        <v>4440</v>
      </c>
      <c r="E297" s="203">
        <v>32308</v>
      </c>
      <c r="F297" s="52">
        <v>27308</v>
      </c>
      <c r="G297" s="38">
        <v>19484.62</v>
      </c>
      <c r="H297" s="118">
        <f t="shared" si="11"/>
        <v>0.7135132561886626</v>
      </c>
      <c r="I297" s="118">
        <f t="shared" si="10"/>
        <v>0.0015718599959744916</v>
      </c>
      <c r="J297" s="42"/>
      <c r="L297" s="100"/>
    </row>
    <row r="298" spans="1:12" ht="25.5">
      <c r="A298" s="29" t="s">
        <v>207</v>
      </c>
      <c r="B298" s="18"/>
      <c r="C298" s="18"/>
      <c r="D298" s="28" t="s">
        <v>193</v>
      </c>
      <c r="E298" s="203">
        <v>500</v>
      </c>
      <c r="F298" s="52">
        <v>500</v>
      </c>
      <c r="G298" s="38">
        <v>79.33</v>
      </c>
      <c r="H298" s="118">
        <f t="shared" si="11"/>
        <v>0.15866</v>
      </c>
      <c r="I298" s="118">
        <f t="shared" si="10"/>
        <v>6.399696451901881E-06</v>
      </c>
      <c r="J298" s="42"/>
      <c r="L298" s="100"/>
    </row>
    <row r="299" spans="1:12" ht="15" customHeight="1">
      <c r="A299" s="87" t="s">
        <v>47</v>
      </c>
      <c r="B299" s="120"/>
      <c r="C299" s="120" t="s">
        <v>181</v>
      </c>
      <c r="D299" s="120"/>
      <c r="E299" s="202">
        <f>SUM(E300:E305)</f>
        <v>127436</v>
      </c>
      <c r="F299" s="202">
        <f>SUM(F300:F305)</f>
        <v>127436</v>
      </c>
      <c r="G299" s="202">
        <f>SUM(G300:G305)</f>
        <v>67218.78</v>
      </c>
      <c r="H299" s="90">
        <f t="shared" si="11"/>
        <v>0.5274708873473744</v>
      </c>
      <c r="I299" s="90">
        <f t="shared" si="10"/>
        <v>0.0054226621437939385</v>
      </c>
      <c r="J299" s="122"/>
      <c r="L299" s="100"/>
    </row>
    <row r="300" spans="1:12" ht="15" customHeight="1">
      <c r="A300" s="29" t="s">
        <v>19</v>
      </c>
      <c r="B300" s="120"/>
      <c r="C300" s="120"/>
      <c r="D300" s="28" t="s">
        <v>146</v>
      </c>
      <c r="E300" s="200">
        <v>25452</v>
      </c>
      <c r="F300" s="38">
        <v>25452</v>
      </c>
      <c r="G300" s="38">
        <v>10891.45</v>
      </c>
      <c r="H300" s="118">
        <f t="shared" si="11"/>
        <v>0.42792118497564047</v>
      </c>
      <c r="I300" s="118">
        <f t="shared" si="10"/>
        <v>0.000878633227291904</v>
      </c>
      <c r="J300" s="122"/>
      <c r="L300" s="100"/>
    </row>
    <row r="301" spans="1:12" ht="15" customHeight="1">
      <c r="A301" s="29" t="s">
        <v>21</v>
      </c>
      <c r="B301" s="120"/>
      <c r="C301" s="120"/>
      <c r="D301" s="28" t="s">
        <v>78</v>
      </c>
      <c r="E301" s="200">
        <v>4424</v>
      </c>
      <c r="F301" s="38">
        <v>4424</v>
      </c>
      <c r="G301" s="38">
        <v>1577.52</v>
      </c>
      <c r="H301" s="118">
        <f t="shared" si="11"/>
        <v>0.35658227848101265</v>
      </c>
      <c r="I301" s="118">
        <f t="shared" si="10"/>
        <v>0.00012726142880126377</v>
      </c>
      <c r="J301" s="122"/>
      <c r="L301" s="100"/>
    </row>
    <row r="302" spans="1:12" ht="15" customHeight="1">
      <c r="A302" s="29" t="s">
        <v>22</v>
      </c>
      <c r="B302" s="120"/>
      <c r="C302" s="120"/>
      <c r="D302" s="28" t="s">
        <v>79</v>
      </c>
      <c r="E302" s="200">
        <v>624</v>
      </c>
      <c r="F302" s="38">
        <v>624</v>
      </c>
      <c r="G302" s="38">
        <v>222.95</v>
      </c>
      <c r="H302" s="118">
        <f t="shared" si="11"/>
        <v>0.3572916666666667</v>
      </c>
      <c r="I302" s="118">
        <f t="shared" si="10"/>
        <v>1.798578499875866E-05</v>
      </c>
      <c r="J302" s="122"/>
      <c r="L302" s="100"/>
    </row>
    <row r="303" spans="1:12" ht="15" customHeight="1">
      <c r="A303" s="29" t="s">
        <v>12</v>
      </c>
      <c r="B303" s="120"/>
      <c r="C303" s="120"/>
      <c r="D303" s="28" t="s">
        <v>76</v>
      </c>
      <c r="E303" s="200">
        <v>95700</v>
      </c>
      <c r="F303" s="38">
        <v>95700</v>
      </c>
      <c r="G303" s="38">
        <v>53637.61</v>
      </c>
      <c r="H303" s="118">
        <f t="shared" si="11"/>
        <v>0.5604765935214211</v>
      </c>
      <c r="I303" s="118">
        <f t="shared" si="10"/>
        <v>0.004327044275879199</v>
      </c>
      <c r="J303" s="122"/>
      <c r="L303" s="100"/>
    </row>
    <row r="304" spans="1:12" ht="15" customHeight="1">
      <c r="A304" s="29" t="s">
        <v>316</v>
      </c>
      <c r="B304" s="120"/>
      <c r="C304" s="120"/>
      <c r="D304" s="28" t="s">
        <v>139</v>
      </c>
      <c r="E304" s="200">
        <v>1186</v>
      </c>
      <c r="F304" s="38">
        <v>1186</v>
      </c>
      <c r="G304" s="38">
        <v>889.25</v>
      </c>
      <c r="H304" s="118">
        <f t="shared" si="11"/>
        <v>0.7497892074198989</v>
      </c>
      <c r="I304" s="118">
        <f t="shared" si="10"/>
        <v>7.17374268228129E-05</v>
      </c>
      <c r="J304" s="122"/>
      <c r="L304" s="100"/>
    </row>
    <row r="305" spans="1:12" ht="25.5">
      <c r="A305" s="29" t="s">
        <v>207</v>
      </c>
      <c r="B305" s="18"/>
      <c r="C305" s="18"/>
      <c r="D305" s="28" t="s">
        <v>193</v>
      </c>
      <c r="E305" s="203">
        <v>50</v>
      </c>
      <c r="F305" s="52">
        <v>50</v>
      </c>
      <c r="G305" s="38">
        <v>0</v>
      </c>
      <c r="H305" s="118">
        <f t="shared" si="11"/>
        <v>0</v>
      </c>
      <c r="I305" s="118">
        <f t="shared" si="10"/>
        <v>0</v>
      </c>
      <c r="J305" s="42"/>
      <c r="L305" s="100"/>
    </row>
    <row r="306" spans="1:12" ht="15" customHeight="1">
      <c r="A306" s="87" t="s">
        <v>136</v>
      </c>
      <c r="B306" s="120"/>
      <c r="C306" s="120" t="s">
        <v>137</v>
      </c>
      <c r="D306" s="120"/>
      <c r="E306" s="202">
        <f>SUM(E307:E318)</f>
        <v>74832.25</v>
      </c>
      <c r="F306" s="202">
        <f>SUM(F307:F318)</f>
        <v>69445.4</v>
      </c>
      <c r="G306" s="202">
        <f>SUM(G307:G318)</f>
        <v>48627.8</v>
      </c>
      <c r="H306" s="90">
        <f aca="true" t="shared" si="12" ref="H306:H408">G306/F306</f>
        <v>0.7002306848257769</v>
      </c>
      <c r="I306" s="90">
        <f t="shared" si="10"/>
        <v>0.00392289372398581</v>
      </c>
      <c r="J306" s="122"/>
      <c r="L306" s="100"/>
    </row>
    <row r="307" spans="1:12" ht="12.75">
      <c r="A307" s="19" t="s">
        <v>19</v>
      </c>
      <c r="B307" s="28"/>
      <c r="C307" s="28"/>
      <c r="D307" s="28" t="s">
        <v>463</v>
      </c>
      <c r="E307" s="200">
        <v>5424</v>
      </c>
      <c r="F307" s="38">
        <v>5424</v>
      </c>
      <c r="G307" s="38">
        <v>5424</v>
      </c>
      <c r="H307" s="118">
        <f aca="true" t="shared" si="13" ref="H307:H318">G307/F307</f>
        <v>1</v>
      </c>
      <c r="I307" s="118">
        <f t="shared" si="10"/>
        <v>0.0004375640180904551</v>
      </c>
      <c r="J307" s="42"/>
      <c r="L307" s="100"/>
    </row>
    <row r="308" spans="1:12" ht="12.75">
      <c r="A308" s="19" t="s">
        <v>21</v>
      </c>
      <c r="B308" s="28"/>
      <c r="C308" s="28"/>
      <c r="D308" s="28" t="s">
        <v>464</v>
      </c>
      <c r="E308" s="200">
        <v>1524</v>
      </c>
      <c r="F308" s="38">
        <v>1522.83</v>
      </c>
      <c r="G308" s="38">
        <v>1522.83</v>
      </c>
      <c r="H308" s="118">
        <f t="shared" si="13"/>
        <v>1</v>
      </c>
      <c r="I308" s="118">
        <f t="shared" si="10"/>
        <v>0.0001228494862958495</v>
      </c>
      <c r="J308" s="42"/>
      <c r="L308" s="100"/>
    </row>
    <row r="309" spans="1:12" ht="12.75">
      <c r="A309" s="19" t="s">
        <v>22</v>
      </c>
      <c r="B309" s="28"/>
      <c r="C309" s="28"/>
      <c r="D309" s="28" t="s">
        <v>465</v>
      </c>
      <c r="E309" s="200">
        <v>215</v>
      </c>
      <c r="F309" s="38">
        <v>214.69</v>
      </c>
      <c r="G309" s="38">
        <v>214.69</v>
      </c>
      <c r="H309" s="118">
        <f t="shared" si="13"/>
        <v>1</v>
      </c>
      <c r="I309" s="118">
        <f t="shared" si="10"/>
        <v>1.7319435664424744E-05</v>
      </c>
      <c r="J309" s="42"/>
      <c r="L309" s="100"/>
    </row>
    <row r="310" spans="1:12" ht="12.75">
      <c r="A310" s="29" t="s">
        <v>159</v>
      </c>
      <c r="B310" s="28"/>
      <c r="C310" s="28"/>
      <c r="D310" s="28" t="s">
        <v>484</v>
      </c>
      <c r="E310" s="200">
        <v>3338</v>
      </c>
      <c r="F310" s="38">
        <v>3338</v>
      </c>
      <c r="G310" s="38">
        <v>3338</v>
      </c>
      <c r="H310" s="118">
        <f t="shared" si="13"/>
        <v>1</v>
      </c>
      <c r="I310" s="118">
        <f t="shared" si="10"/>
        <v>0.00026928257602985606</v>
      </c>
      <c r="J310" s="42"/>
      <c r="L310" s="100"/>
    </row>
    <row r="311" spans="1:12" ht="12.75">
      <c r="A311" s="29" t="s">
        <v>387</v>
      </c>
      <c r="B311" s="28"/>
      <c r="C311" s="28"/>
      <c r="D311" s="28" t="s">
        <v>525</v>
      </c>
      <c r="E311" s="200">
        <v>0</v>
      </c>
      <c r="F311" s="38">
        <v>856.72</v>
      </c>
      <c r="G311" s="38">
        <v>856.72</v>
      </c>
      <c r="H311" s="118">
        <f t="shared" si="13"/>
        <v>1</v>
      </c>
      <c r="I311" s="118">
        <f t="shared" si="10"/>
        <v>6.911317211992159E-05</v>
      </c>
      <c r="J311" s="42"/>
      <c r="L311" s="100"/>
    </row>
    <row r="312" spans="1:12" ht="12.75">
      <c r="A312" s="19" t="s">
        <v>9</v>
      </c>
      <c r="B312" s="28"/>
      <c r="C312" s="28"/>
      <c r="D312" s="28" t="s">
        <v>466</v>
      </c>
      <c r="E312" s="200">
        <v>518.19</v>
      </c>
      <c r="F312" s="38">
        <v>0</v>
      </c>
      <c r="G312" s="38">
        <v>0</v>
      </c>
      <c r="H312" s="118"/>
      <c r="I312" s="118">
        <f aca="true" t="shared" si="14" ref="I312:I368">G312/12395900.43</f>
        <v>0</v>
      </c>
      <c r="J312" s="42"/>
      <c r="L312" s="100"/>
    </row>
    <row r="313" spans="1:12" ht="12.75">
      <c r="A313" s="29" t="s">
        <v>427</v>
      </c>
      <c r="B313" s="28"/>
      <c r="C313" s="28"/>
      <c r="D313" s="28" t="s">
        <v>142</v>
      </c>
      <c r="E313" s="200">
        <v>0</v>
      </c>
      <c r="F313" s="38">
        <v>10</v>
      </c>
      <c r="G313" s="38">
        <v>7.02</v>
      </c>
      <c r="H313" s="118">
        <f t="shared" si="13"/>
        <v>0.702</v>
      </c>
      <c r="I313" s="118">
        <f t="shared" si="14"/>
        <v>5.663162623515845E-07</v>
      </c>
      <c r="J313" s="42"/>
      <c r="L313" s="100"/>
    </row>
    <row r="314" spans="1:12" ht="12.75">
      <c r="A314" s="29" t="s">
        <v>427</v>
      </c>
      <c r="B314" s="28"/>
      <c r="C314" s="28"/>
      <c r="D314" s="28" t="s">
        <v>485</v>
      </c>
      <c r="E314" s="200">
        <v>0</v>
      </c>
      <c r="F314" s="38">
        <v>2650.95</v>
      </c>
      <c r="G314" s="38">
        <v>2650.95</v>
      </c>
      <c r="H314" s="118">
        <f t="shared" si="13"/>
        <v>1</v>
      </c>
      <c r="I314" s="118">
        <f t="shared" si="14"/>
        <v>0.0002138569936867426</v>
      </c>
      <c r="J314" s="42"/>
      <c r="L314" s="100"/>
    </row>
    <row r="315" spans="1:12" ht="12.75">
      <c r="A315" s="19" t="s">
        <v>12</v>
      </c>
      <c r="B315" s="28"/>
      <c r="C315" s="28"/>
      <c r="D315" s="28" t="s">
        <v>76</v>
      </c>
      <c r="E315" s="200">
        <v>15000</v>
      </c>
      <c r="F315" s="38">
        <v>8260</v>
      </c>
      <c r="G315" s="38">
        <v>0</v>
      </c>
      <c r="H315" s="118">
        <f t="shared" si="13"/>
        <v>0</v>
      </c>
      <c r="I315" s="118">
        <f t="shared" si="14"/>
        <v>0</v>
      </c>
      <c r="J315" s="42"/>
      <c r="L315" s="100"/>
    </row>
    <row r="316" spans="1:12" ht="12.75">
      <c r="A316" s="19" t="s">
        <v>255</v>
      </c>
      <c r="B316" s="28"/>
      <c r="C316" s="28"/>
      <c r="D316" s="28" t="s">
        <v>486</v>
      </c>
      <c r="E316" s="200">
        <v>0</v>
      </c>
      <c r="F316" s="38">
        <v>10815.24</v>
      </c>
      <c r="G316" s="38">
        <v>10815.24</v>
      </c>
      <c r="H316" s="118">
        <f t="shared" si="13"/>
        <v>1</v>
      </c>
      <c r="I316" s="118">
        <f t="shared" si="14"/>
        <v>0.0008724852269566028</v>
      </c>
      <c r="J316" s="42"/>
      <c r="L316" s="100"/>
    </row>
    <row r="317" spans="1:12" ht="25.5">
      <c r="A317" s="19" t="s">
        <v>207</v>
      </c>
      <c r="B317" s="28"/>
      <c r="C317" s="28"/>
      <c r="D317" s="28" t="s">
        <v>193</v>
      </c>
      <c r="E317" s="200">
        <v>18703</v>
      </c>
      <c r="F317" s="38">
        <v>18693</v>
      </c>
      <c r="G317" s="38">
        <v>6138.38</v>
      </c>
      <c r="H317" s="118">
        <f t="shared" si="13"/>
        <v>0.3283785374204248</v>
      </c>
      <c r="I317" s="118">
        <f t="shared" si="14"/>
        <v>0.000495194361608792</v>
      </c>
      <c r="J317" s="42"/>
      <c r="L317" s="100"/>
    </row>
    <row r="318" spans="1:12" ht="25.5">
      <c r="A318" s="29" t="s">
        <v>207</v>
      </c>
      <c r="B318" s="28"/>
      <c r="C318" s="28"/>
      <c r="D318" s="28" t="s">
        <v>487</v>
      </c>
      <c r="E318" s="200">
        <v>30110.06</v>
      </c>
      <c r="F318" s="38">
        <v>17659.97</v>
      </c>
      <c r="G318" s="38">
        <v>17659.97</v>
      </c>
      <c r="H318" s="118">
        <f t="shared" si="13"/>
        <v>1</v>
      </c>
      <c r="I318" s="118">
        <f t="shared" si="14"/>
        <v>0.001424662137270814</v>
      </c>
      <c r="J318" s="42"/>
      <c r="L318" s="100"/>
    </row>
    <row r="319" spans="1:12" s="89" customFormat="1" ht="15" customHeight="1">
      <c r="A319" s="87" t="s">
        <v>322</v>
      </c>
      <c r="B319" s="120"/>
      <c r="C319" s="120" t="s">
        <v>222</v>
      </c>
      <c r="D319" s="120"/>
      <c r="E319" s="202">
        <f>SUM(E320:E333)</f>
        <v>250224</v>
      </c>
      <c r="F319" s="123">
        <f>SUM(F320:F333)</f>
        <v>254326</v>
      </c>
      <c r="G319" s="123">
        <f>SUM(G320:G333)</f>
        <v>134462.05</v>
      </c>
      <c r="H319" s="90">
        <f t="shared" si="12"/>
        <v>0.5286995824257056</v>
      </c>
      <c r="I319" s="90">
        <f t="shared" si="14"/>
        <v>0.010847299940759527</v>
      </c>
      <c r="J319" s="122"/>
      <c r="L319" s="130"/>
    </row>
    <row r="320" spans="1:12" ht="12.75">
      <c r="A320" s="29" t="s">
        <v>314</v>
      </c>
      <c r="B320" s="28"/>
      <c r="C320" s="28"/>
      <c r="D320" s="28" t="s">
        <v>95</v>
      </c>
      <c r="E320" s="200">
        <v>2236</v>
      </c>
      <c r="F320" s="38">
        <v>2236</v>
      </c>
      <c r="G320" s="38">
        <v>1221.77</v>
      </c>
      <c r="H320" s="118">
        <f t="shared" si="12"/>
        <v>0.5464087656529517</v>
      </c>
      <c r="I320" s="118">
        <f t="shared" si="14"/>
        <v>9.856242448052642E-05</v>
      </c>
      <c r="J320" s="42"/>
      <c r="L320" s="100"/>
    </row>
    <row r="321" spans="1:12" s="89" customFormat="1" ht="12.75">
      <c r="A321" s="29" t="s">
        <v>19</v>
      </c>
      <c r="B321" s="28"/>
      <c r="C321" s="28"/>
      <c r="D321" s="28" t="s">
        <v>146</v>
      </c>
      <c r="E321" s="200">
        <v>94346</v>
      </c>
      <c r="F321" s="38">
        <v>94346</v>
      </c>
      <c r="G321" s="38">
        <v>46497.74</v>
      </c>
      <c r="H321" s="118">
        <f t="shared" si="12"/>
        <v>0.49284272783159855</v>
      </c>
      <c r="I321" s="118">
        <f t="shared" si="14"/>
        <v>0.003751057880996548</v>
      </c>
      <c r="J321" s="42"/>
      <c r="L321" s="130"/>
    </row>
    <row r="322" spans="1:12" s="26" customFormat="1" ht="12.75">
      <c r="A322" s="29" t="s">
        <v>20</v>
      </c>
      <c r="B322" s="28"/>
      <c r="C322" s="28"/>
      <c r="D322" s="28" t="s">
        <v>164</v>
      </c>
      <c r="E322" s="200">
        <v>5200</v>
      </c>
      <c r="F322" s="38">
        <v>7037</v>
      </c>
      <c r="G322" s="38">
        <v>7036.78</v>
      </c>
      <c r="H322" s="118">
        <f t="shared" si="12"/>
        <v>0.9999687366775615</v>
      </c>
      <c r="I322" s="118">
        <f t="shared" si="14"/>
        <v>0.0005676699356966358</v>
      </c>
      <c r="J322" s="42"/>
      <c r="L322" s="100"/>
    </row>
    <row r="323" spans="1:12" s="89" customFormat="1" ht="12.75">
      <c r="A323" s="29" t="s">
        <v>27</v>
      </c>
      <c r="B323" s="28"/>
      <c r="C323" s="28"/>
      <c r="D323" s="28" t="s">
        <v>78</v>
      </c>
      <c r="E323" s="200">
        <v>16651</v>
      </c>
      <c r="F323" s="38">
        <v>16971</v>
      </c>
      <c r="G323" s="38">
        <v>7699.49</v>
      </c>
      <c r="H323" s="118">
        <f t="shared" si="12"/>
        <v>0.4536851098933475</v>
      </c>
      <c r="I323" s="118">
        <f t="shared" si="14"/>
        <v>0.0006211319656429348</v>
      </c>
      <c r="J323" s="42"/>
      <c r="L323" s="130"/>
    </row>
    <row r="324" spans="1:12" s="26" customFormat="1" ht="12.75">
      <c r="A324" s="29" t="s">
        <v>22</v>
      </c>
      <c r="B324" s="28"/>
      <c r="C324" s="28"/>
      <c r="D324" s="28" t="s">
        <v>79</v>
      </c>
      <c r="E324" s="200">
        <v>2348</v>
      </c>
      <c r="F324" s="38">
        <v>2393</v>
      </c>
      <c r="G324" s="38">
        <v>1087.46</v>
      </c>
      <c r="H324" s="118">
        <f t="shared" si="12"/>
        <v>0.4544337651483494</v>
      </c>
      <c r="I324" s="118">
        <f t="shared" si="14"/>
        <v>8.772739069185957E-05</v>
      </c>
      <c r="J324" s="42"/>
      <c r="L324" s="100"/>
    </row>
    <row r="325" spans="1:12" s="26" customFormat="1" ht="12.75">
      <c r="A325" s="29" t="s">
        <v>9</v>
      </c>
      <c r="B325" s="28"/>
      <c r="C325" s="28"/>
      <c r="D325" s="28" t="s">
        <v>80</v>
      </c>
      <c r="E325" s="200">
        <v>12000</v>
      </c>
      <c r="F325" s="38">
        <v>12000</v>
      </c>
      <c r="G325" s="38">
        <v>4736.59</v>
      </c>
      <c r="H325" s="118">
        <f t="shared" si="12"/>
        <v>0.3947158333333333</v>
      </c>
      <c r="I325" s="118">
        <f t="shared" si="14"/>
        <v>0.0003821093938877339</v>
      </c>
      <c r="J325" s="42"/>
      <c r="L325" s="100"/>
    </row>
    <row r="326" spans="1:12" s="26" customFormat="1" ht="12.75">
      <c r="A326" s="29" t="s">
        <v>57</v>
      </c>
      <c r="B326" s="28"/>
      <c r="C326" s="28"/>
      <c r="D326" s="28" t="s">
        <v>135</v>
      </c>
      <c r="E326" s="200">
        <v>104990</v>
      </c>
      <c r="F326" s="38">
        <v>104990</v>
      </c>
      <c r="G326" s="38">
        <v>58817.17</v>
      </c>
      <c r="H326" s="118">
        <f t="shared" si="12"/>
        <v>0.5602168777978855</v>
      </c>
      <c r="I326" s="118">
        <f t="shared" si="14"/>
        <v>0.0047448888712959755</v>
      </c>
      <c r="J326" s="42"/>
      <c r="L326" s="100"/>
    </row>
    <row r="327" spans="1:12" s="26" customFormat="1" ht="12.75">
      <c r="A327" s="29" t="s">
        <v>10</v>
      </c>
      <c r="B327" s="28"/>
      <c r="C327" s="28"/>
      <c r="D327" s="28" t="s">
        <v>149</v>
      </c>
      <c r="E327" s="200">
        <v>7300</v>
      </c>
      <c r="F327" s="38">
        <v>9200</v>
      </c>
      <c r="G327" s="38">
        <v>4241.9</v>
      </c>
      <c r="H327" s="118">
        <f t="shared" si="12"/>
        <v>0.4610760869565217</v>
      </c>
      <c r="I327" s="118">
        <f t="shared" si="14"/>
        <v>0.0003422018451950408</v>
      </c>
      <c r="J327" s="42"/>
      <c r="L327" s="100"/>
    </row>
    <row r="328" spans="1:12" s="26" customFormat="1" ht="12.75">
      <c r="A328" s="29" t="s">
        <v>11</v>
      </c>
      <c r="B328" s="28"/>
      <c r="C328" s="28"/>
      <c r="D328" s="28" t="s">
        <v>132</v>
      </c>
      <c r="E328" s="200">
        <v>200</v>
      </c>
      <c r="F328" s="38">
        <v>200</v>
      </c>
      <c r="G328" s="38">
        <v>0</v>
      </c>
      <c r="H328" s="118">
        <f t="shared" si="12"/>
        <v>0</v>
      </c>
      <c r="I328" s="118">
        <f t="shared" si="14"/>
        <v>0</v>
      </c>
      <c r="J328" s="42"/>
      <c r="L328" s="100"/>
    </row>
    <row r="329" spans="1:12" s="26" customFormat="1" ht="12.75">
      <c r="A329" s="29" t="s">
        <v>45</v>
      </c>
      <c r="B329" s="28"/>
      <c r="C329" s="28"/>
      <c r="D329" s="28" t="s">
        <v>134</v>
      </c>
      <c r="E329" s="200">
        <v>100</v>
      </c>
      <c r="F329" s="38">
        <v>100</v>
      </c>
      <c r="G329" s="38">
        <v>40</v>
      </c>
      <c r="H329" s="118">
        <f t="shared" si="12"/>
        <v>0.4</v>
      </c>
      <c r="I329" s="118">
        <f t="shared" si="14"/>
        <v>3.226873289752619E-06</v>
      </c>
      <c r="J329" s="42"/>
      <c r="L329" s="100"/>
    </row>
    <row r="330" spans="1:12" s="26" customFormat="1" ht="12.75">
      <c r="A330" s="29" t="s">
        <v>12</v>
      </c>
      <c r="B330" s="28"/>
      <c r="C330" s="28"/>
      <c r="D330" s="28" t="s">
        <v>76</v>
      </c>
      <c r="E330" s="200">
        <v>200</v>
      </c>
      <c r="F330" s="38">
        <v>200</v>
      </c>
      <c r="G330" s="38">
        <v>0</v>
      </c>
      <c r="H330" s="118">
        <f t="shared" si="12"/>
        <v>0</v>
      </c>
      <c r="I330" s="118">
        <f t="shared" si="14"/>
        <v>0</v>
      </c>
      <c r="J330" s="42"/>
      <c r="L330" s="100"/>
    </row>
    <row r="331" spans="1:12" s="26" customFormat="1" ht="12.75">
      <c r="A331" s="29" t="s">
        <v>316</v>
      </c>
      <c r="B331" s="28"/>
      <c r="C331" s="28"/>
      <c r="D331" s="28" t="s">
        <v>139</v>
      </c>
      <c r="E331" s="200">
        <v>3953</v>
      </c>
      <c r="F331" s="38">
        <v>3953</v>
      </c>
      <c r="G331" s="38">
        <v>2964.15</v>
      </c>
      <c r="H331" s="118">
        <f t="shared" si="12"/>
        <v>0.7498482165443967</v>
      </c>
      <c r="I331" s="118">
        <f t="shared" si="14"/>
        <v>0.00023912341154550562</v>
      </c>
      <c r="J331" s="42"/>
      <c r="L331" s="100"/>
    </row>
    <row r="332" spans="1:12" s="26" customFormat="1" ht="12.75">
      <c r="A332" s="29" t="s">
        <v>208</v>
      </c>
      <c r="B332" s="28"/>
      <c r="C332" s="28"/>
      <c r="D332" s="28" t="s">
        <v>209</v>
      </c>
      <c r="E332" s="200">
        <v>300</v>
      </c>
      <c r="F332" s="38">
        <v>300</v>
      </c>
      <c r="G332" s="38">
        <v>0</v>
      </c>
      <c r="H332" s="118">
        <f t="shared" si="12"/>
        <v>0</v>
      </c>
      <c r="I332" s="118">
        <f t="shared" si="14"/>
        <v>0</v>
      </c>
      <c r="J332" s="42"/>
      <c r="L332" s="100"/>
    </row>
    <row r="333" spans="1:12" s="26" customFormat="1" ht="25.5">
      <c r="A333" s="29" t="s">
        <v>207</v>
      </c>
      <c r="B333" s="28"/>
      <c r="C333" s="28"/>
      <c r="D333" s="28" t="s">
        <v>193</v>
      </c>
      <c r="E333" s="200">
        <v>400</v>
      </c>
      <c r="F333" s="38">
        <v>400</v>
      </c>
      <c r="G333" s="38">
        <v>119</v>
      </c>
      <c r="H333" s="118">
        <f t="shared" si="12"/>
        <v>0.2975</v>
      </c>
      <c r="I333" s="118">
        <f t="shared" si="14"/>
        <v>9.599948037014041E-06</v>
      </c>
      <c r="J333" s="42"/>
      <c r="L333" s="100"/>
    </row>
    <row r="334" spans="1:12" s="103" customFormat="1" ht="46.5" customHeight="1">
      <c r="A334" s="198" t="s">
        <v>538</v>
      </c>
      <c r="B334" s="120"/>
      <c r="C334" s="120" t="s">
        <v>384</v>
      </c>
      <c r="D334" s="120"/>
      <c r="E334" s="202">
        <f>SUM(E335:E340)</f>
        <v>1798</v>
      </c>
      <c r="F334" s="121">
        <f>SUM(F335:F340)</f>
        <v>1439</v>
      </c>
      <c r="G334" s="121">
        <f>SUM(G335:G340)</f>
        <v>1438.12</v>
      </c>
      <c r="H334" s="90">
        <f aca="true" t="shared" si="15" ref="H334:H341">G334/F334</f>
        <v>0.9993884642112577</v>
      </c>
      <c r="I334" s="90">
        <f t="shared" si="14"/>
        <v>0.0001160157753864759</v>
      </c>
      <c r="J334" s="121"/>
      <c r="L334" s="155"/>
    </row>
    <row r="335" spans="1:12" s="26" customFormat="1" ht="3.75" customHeight="1">
      <c r="A335" s="29" t="s">
        <v>19</v>
      </c>
      <c r="B335" s="28"/>
      <c r="C335" s="28"/>
      <c r="D335" s="28" t="s">
        <v>146</v>
      </c>
      <c r="E335" s="200">
        <v>0</v>
      </c>
      <c r="F335" s="38">
        <v>0</v>
      </c>
      <c r="G335" s="38">
        <v>0</v>
      </c>
      <c r="H335" s="118" t="e">
        <f t="shared" si="15"/>
        <v>#DIV/0!</v>
      </c>
      <c r="I335" s="118">
        <f t="shared" si="14"/>
        <v>0</v>
      </c>
      <c r="J335" s="42"/>
      <c r="L335" s="100"/>
    </row>
    <row r="336" spans="1:12" s="26" customFormat="1" ht="12.75">
      <c r="A336" s="29" t="s">
        <v>20</v>
      </c>
      <c r="B336" s="28"/>
      <c r="C336" s="28"/>
      <c r="D336" s="28" t="s">
        <v>164</v>
      </c>
      <c r="E336" s="200">
        <v>1500</v>
      </c>
      <c r="F336" s="38">
        <v>1208</v>
      </c>
      <c r="G336" s="38">
        <v>1207.52</v>
      </c>
      <c r="H336" s="118">
        <f t="shared" si="15"/>
        <v>0.9996026490066225</v>
      </c>
      <c r="I336" s="118">
        <f t="shared" si="14"/>
        <v>9.741285087105205E-05</v>
      </c>
      <c r="J336" s="42"/>
      <c r="L336" s="100"/>
    </row>
    <row r="337" spans="1:12" s="26" customFormat="1" ht="12.75">
      <c r="A337" s="29" t="s">
        <v>27</v>
      </c>
      <c r="B337" s="28"/>
      <c r="C337" s="28"/>
      <c r="D337" s="28" t="s">
        <v>78</v>
      </c>
      <c r="E337" s="200">
        <v>261</v>
      </c>
      <c r="F337" s="38">
        <v>210</v>
      </c>
      <c r="G337" s="38">
        <v>209.84</v>
      </c>
      <c r="H337" s="118">
        <f t="shared" si="15"/>
        <v>0.9992380952380953</v>
      </c>
      <c r="I337" s="118">
        <f t="shared" si="14"/>
        <v>1.6928177278042236E-05</v>
      </c>
      <c r="J337" s="42"/>
      <c r="L337" s="100"/>
    </row>
    <row r="338" spans="1:12" s="26" customFormat="1" ht="12.75">
      <c r="A338" s="29" t="s">
        <v>22</v>
      </c>
      <c r="B338" s="28"/>
      <c r="C338" s="28"/>
      <c r="D338" s="28" t="s">
        <v>79</v>
      </c>
      <c r="E338" s="200">
        <v>37</v>
      </c>
      <c r="F338" s="38">
        <v>21</v>
      </c>
      <c r="G338" s="38">
        <v>20.76</v>
      </c>
      <c r="H338" s="118">
        <f t="shared" si="15"/>
        <v>0.9885714285714287</v>
      </c>
      <c r="I338" s="118">
        <f t="shared" si="14"/>
        <v>1.6747472373816093E-06</v>
      </c>
      <c r="J338" s="42"/>
      <c r="L338" s="100"/>
    </row>
    <row r="339" spans="1:12" s="26" customFormat="1" ht="12.75" hidden="1">
      <c r="A339" s="29" t="s">
        <v>427</v>
      </c>
      <c r="B339" s="28"/>
      <c r="C339" s="28"/>
      <c r="D339" s="28" t="s">
        <v>142</v>
      </c>
      <c r="E339" s="200">
        <v>0</v>
      </c>
      <c r="F339" s="38">
        <v>0</v>
      </c>
      <c r="G339" s="38">
        <v>0</v>
      </c>
      <c r="H339" s="118" t="e">
        <f t="shared" si="15"/>
        <v>#DIV/0!</v>
      </c>
      <c r="I339" s="118">
        <f t="shared" si="14"/>
        <v>0</v>
      </c>
      <c r="J339" s="42"/>
      <c r="L339" s="100"/>
    </row>
    <row r="340" spans="1:12" s="26" customFormat="1" ht="12.75" hidden="1">
      <c r="A340" s="29" t="s">
        <v>316</v>
      </c>
      <c r="B340" s="28"/>
      <c r="C340" s="28"/>
      <c r="D340" s="28" t="s">
        <v>139</v>
      </c>
      <c r="E340" s="200">
        <v>0</v>
      </c>
      <c r="F340" s="38">
        <v>0</v>
      </c>
      <c r="G340" s="38">
        <v>0</v>
      </c>
      <c r="H340" s="118" t="e">
        <f t="shared" si="15"/>
        <v>#DIV/0!</v>
      </c>
      <c r="I340" s="227">
        <f t="shared" si="14"/>
        <v>0</v>
      </c>
      <c r="J340" s="42"/>
      <c r="L340" s="100"/>
    </row>
    <row r="341" spans="1:12" s="103" customFormat="1" ht="39.75" customHeight="1">
      <c r="A341" s="198" t="s">
        <v>539</v>
      </c>
      <c r="B341" s="120"/>
      <c r="C341" s="120" t="s">
        <v>385</v>
      </c>
      <c r="D341" s="120"/>
      <c r="E341" s="202">
        <f>SUM(E342:E352)</f>
        <v>464914</v>
      </c>
      <c r="F341" s="121">
        <f>SUM(F342:F352)</f>
        <v>578451</v>
      </c>
      <c r="G341" s="121">
        <f>SUM(G342:G352)</f>
        <v>301291.5599999999</v>
      </c>
      <c r="H341" s="90">
        <f t="shared" si="15"/>
        <v>0.5208592603349288</v>
      </c>
      <c r="I341" s="90">
        <f t="shared" si="14"/>
        <v>0.024305742184797453</v>
      </c>
      <c r="J341" s="121"/>
      <c r="L341" s="155"/>
    </row>
    <row r="342" spans="1:12" s="26" customFormat="1" ht="12.75">
      <c r="A342" s="29" t="s">
        <v>19</v>
      </c>
      <c r="B342" s="28"/>
      <c r="C342" s="28"/>
      <c r="D342" s="28" t="s">
        <v>146</v>
      </c>
      <c r="E342" s="200">
        <v>309577</v>
      </c>
      <c r="F342" s="38">
        <v>404016</v>
      </c>
      <c r="G342" s="38">
        <v>184912.9</v>
      </c>
      <c r="H342" s="118">
        <f aca="true" t="shared" si="16" ref="H342:H365">G342/F342</f>
        <v>0.45768707179913665</v>
      </c>
      <c r="I342" s="118">
        <f t="shared" si="14"/>
        <v>0.014917262448517425</v>
      </c>
      <c r="J342" s="42"/>
      <c r="L342" s="100"/>
    </row>
    <row r="343" spans="1:12" s="26" customFormat="1" ht="12.75">
      <c r="A343" s="29" t="s">
        <v>20</v>
      </c>
      <c r="B343" s="28"/>
      <c r="C343" s="28"/>
      <c r="D343" s="28" t="s">
        <v>164</v>
      </c>
      <c r="E343" s="200">
        <v>52715</v>
      </c>
      <c r="F343" s="38">
        <v>52819</v>
      </c>
      <c r="G343" s="38">
        <v>52818.43</v>
      </c>
      <c r="H343" s="118">
        <f t="shared" si="16"/>
        <v>0.9999892084287851</v>
      </c>
      <c r="I343" s="118">
        <f t="shared" si="14"/>
        <v>0.004260959524341711</v>
      </c>
      <c r="J343" s="42"/>
      <c r="L343" s="100"/>
    </row>
    <row r="344" spans="1:12" s="26" customFormat="1" ht="12.75">
      <c r="A344" s="29" t="s">
        <v>27</v>
      </c>
      <c r="B344" s="28"/>
      <c r="C344" s="28"/>
      <c r="D344" s="28" t="s">
        <v>78</v>
      </c>
      <c r="E344" s="200">
        <v>61766</v>
      </c>
      <c r="F344" s="38">
        <v>77870</v>
      </c>
      <c r="G344" s="38">
        <v>37066.33</v>
      </c>
      <c r="H344" s="118">
        <f t="shared" si="16"/>
        <v>0.47600269680236296</v>
      </c>
      <c r="I344" s="118">
        <f t="shared" si="14"/>
        <v>0.0029902087556539047</v>
      </c>
      <c r="J344" s="42"/>
      <c r="L344" s="100"/>
    </row>
    <row r="345" spans="1:12" s="26" customFormat="1" ht="12.75">
      <c r="A345" s="29" t="s">
        <v>22</v>
      </c>
      <c r="B345" s="28"/>
      <c r="C345" s="28"/>
      <c r="D345" s="28" t="s">
        <v>79</v>
      </c>
      <c r="E345" s="200">
        <v>5956</v>
      </c>
      <c r="F345" s="38">
        <v>8216</v>
      </c>
      <c r="G345" s="38">
        <v>4391.04</v>
      </c>
      <c r="H345" s="118">
        <f t="shared" si="16"/>
        <v>0.5344498539435248</v>
      </c>
      <c r="I345" s="118">
        <f t="shared" si="14"/>
        <v>0.00035423324225588345</v>
      </c>
      <c r="J345" s="42"/>
      <c r="L345" s="100"/>
    </row>
    <row r="346" spans="1:12" s="26" customFormat="1" ht="12.75">
      <c r="A346" s="29" t="s">
        <v>9</v>
      </c>
      <c r="B346" s="28"/>
      <c r="C346" s="28"/>
      <c r="D346" s="28" t="s">
        <v>80</v>
      </c>
      <c r="E346" s="200">
        <v>6570</v>
      </c>
      <c r="F346" s="38">
        <v>6570</v>
      </c>
      <c r="G346" s="38">
        <v>3004.41</v>
      </c>
      <c r="H346" s="118">
        <f t="shared" si="16"/>
        <v>0.45729223744292236</v>
      </c>
      <c r="I346" s="118">
        <f t="shared" si="14"/>
        <v>0.00024237125951164163</v>
      </c>
      <c r="J346" s="42"/>
      <c r="L346" s="100"/>
    </row>
    <row r="347" spans="1:12" s="26" customFormat="1" ht="12.75">
      <c r="A347" s="29" t="s">
        <v>427</v>
      </c>
      <c r="B347" s="28"/>
      <c r="C347" s="28"/>
      <c r="D347" s="28" t="s">
        <v>142</v>
      </c>
      <c r="E347" s="200">
        <v>2000</v>
      </c>
      <c r="F347" s="38">
        <v>2000</v>
      </c>
      <c r="G347" s="38">
        <v>585.8</v>
      </c>
      <c r="H347" s="118">
        <f t="shared" si="16"/>
        <v>0.2929</v>
      </c>
      <c r="I347" s="118">
        <f t="shared" si="14"/>
        <v>4.72575593284271E-05</v>
      </c>
      <c r="J347" s="42"/>
      <c r="L347" s="100"/>
    </row>
    <row r="348" spans="1:12" s="26" customFormat="1" ht="12.75">
      <c r="A348" s="29" t="s">
        <v>10</v>
      </c>
      <c r="B348" s="28"/>
      <c r="C348" s="28"/>
      <c r="D348" s="28" t="s">
        <v>149</v>
      </c>
      <c r="E348" s="200">
        <v>1240</v>
      </c>
      <c r="F348" s="38">
        <v>1870</v>
      </c>
      <c r="G348" s="38">
        <v>789.68</v>
      </c>
      <c r="H348" s="118">
        <f t="shared" si="16"/>
        <v>0.4222887700534759</v>
      </c>
      <c r="I348" s="118">
        <f t="shared" si="14"/>
        <v>6.37049324862962E-05</v>
      </c>
      <c r="J348" s="42"/>
      <c r="L348" s="100"/>
    </row>
    <row r="349" spans="1:12" s="26" customFormat="1" ht="12.75">
      <c r="A349" s="29" t="s">
        <v>11</v>
      </c>
      <c r="B349" s="28"/>
      <c r="C349" s="28"/>
      <c r="D349" s="28" t="s">
        <v>132</v>
      </c>
      <c r="E349" s="200">
        <v>300</v>
      </c>
      <c r="F349" s="38">
        <v>300</v>
      </c>
      <c r="G349" s="38">
        <v>109.59</v>
      </c>
      <c r="H349" s="118">
        <f t="shared" si="16"/>
        <v>0.3653</v>
      </c>
      <c r="I349" s="118">
        <f t="shared" si="14"/>
        <v>8.840826095599738E-06</v>
      </c>
      <c r="J349" s="42"/>
      <c r="L349" s="100"/>
    </row>
    <row r="350" spans="1:12" s="26" customFormat="1" ht="12.75">
      <c r="A350" s="19" t="s">
        <v>12</v>
      </c>
      <c r="B350" s="28"/>
      <c r="C350" s="28"/>
      <c r="D350" s="28" t="s">
        <v>76</v>
      </c>
      <c r="E350" s="200">
        <v>946</v>
      </c>
      <c r="F350" s="38">
        <v>946</v>
      </c>
      <c r="G350" s="38">
        <v>547.36</v>
      </c>
      <c r="H350" s="118">
        <f t="shared" si="16"/>
        <v>0.5786046511627907</v>
      </c>
      <c r="I350" s="118">
        <f t="shared" si="14"/>
        <v>4.415653409697483E-05</v>
      </c>
      <c r="J350" s="42"/>
      <c r="L350" s="100"/>
    </row>
    <row r="351" spans="1:12" s="26" customFormat="1" ht="12.75">
      <c r="A351" s="133" t="s">
        <v>25</v>
      </c>
      <c r="B351" s="28"/>
      <c r="C351" s="28"/>
      <c r="D351" s="28" t="s">
        <v>81</v>
      </c>
      <c r="E351" s="200">
        <v>1500</v>
      </c>
      <c r="F351" s="38">
        <v>1500</v>
      </c>
      <c r="G351" s="38">
        <v>852.6</v>
      </c>
      <c r="H351" s="118">
        <f t="shared" si="16"/>
        <v>0.5684</v>
      </c>
      <c r="I351" s="118">
        <f t="shared" si="14"/>
        <v>6.878080417107708E-05</v>
      </c>
      <c r="J351" s="42"/>
      <c r="L351" s="100"/>
    </row>
    <row r="352" spans="1:12" s="26" customFormat="1" ht="12.75">
      <c r="A352" s="29" t="s">
        <v>316</v>
      </c>
      <c r="B352" s="28"/>
      <c r="C352" s="28"/>
      <c r="D352" s="28" t="s">
        <v>139</v>
      </c>
      <c r="E352" s="200">
        <v>22344</v>
      </c>
      <c r="F352" s="38">
        <v>22344</v>
      </c>
      <c r="G352" s="38">
        <v>16213.42</v>
      </c>
      <c r="H352" s="118">
        <f t="shared" si="16"/>
        <v>0.7256274615109202</v>
      </c>
      <c r="I352" s="118">
        <f t="shared" si="14"/>
        <v>0.0013079662983385225</v>
      </c>
      <c r="J352" s="42"/>
      <c r="L352" s="100"/>
    </row>
    <row r="353" spans="1:12" s="26" customFormat="1" ht="78.75" customHeight="1">
      <c r="A353" s="250" t="s">
        <v>540</v>
      </c>
      <c r="B353" s="28"/>
      <c r="C353" s="120" t="s">
        <v>518</v>
      </c>
      <c r="D353" s="28"/>
      <c r="E353" s="202">
        <f>SUM(E354:E362)</f>
        <v>246000</v>
      </c>
      <c r="F353" s="202">
        <f>SUM(F354:F362)</f>
        <v>291322</v>
      </c>
      <c r="G353" s="202">
        <f>SUM(G354:G362)</f>
        <v>133659.58</v>
      </c>
      <c r="H353" s="90">
        <f t="shared" si="16"/>
        <v>0.4588035919017444</v>
      </c>
      <c r="I353" s="90">
        <f t="shared" si="14"/>
        <v>0.010782563215538832</v>
      </c>
      <c r="J353" s="42"/>
      <c r="L353" s="100"/>
    </row>
    <row r="354" spans="1:12" s="26" customFormat="1" ht="12.75">
      <c r="A354" s="29" t="s">
        <v>19</v>
      </c>
      <c r="B354" s="28"/>
      <c r="C354" s="28"/>
      <c r="D354" s="28" t="s">
        <v>146</v>
      </c>
      <c r="E354" s="200">
        <v>188717</v>
      </c>
      <c r="F354" s="38">
        <v>227673</v>
      </c>
      <c r="G354" s="38">
        <v>105288.16</v>
      </c>
      <c r="H354" s="118">
        <f t="shared" si="16"/>
        <v>0.46245343101729236</v>
      </c>
      <c r="I354" s="118">
        <f t="shared" si="14"/>
        <v>0.008493788780780002</v>
      </c>
      <c r="J354" s="42"/>
      <c r="L354" s="100"/>
    </row>
    <row r="355" spans="1:12" s="26" customFormat="1" ht="12.75">
      <c r="A355" s="29" t="s">
        <v>519</v>
      </c>
      <c r="B355" s="28"/>
      <c r="C355" s="28"/>
      <c r="D355" s="28" t="s">
        <v>78</v>
      </c>
      <c r="E355" s="200">
        <v>32126</v>
      </c>
      <c r="F355" s="38">
        <v>38386</v>
      </c>
      <c r="G355" s="38">
        <v>14370.71</v>
      </c>
      <c r="H355" s="118">
        <f t="shared" si="16"/>
        <v>0.3743737300057312</v>
      </c>
      <c r="I355" s="118">
        <f t="shared" si="14"/>
        <v>0.0011593115063445213</v>
      </c>
      <c r="J355" s="42"/>
      <c r="L355" s="100"/>
    </row>
    <row r="356" spans="1:12" s="26" customFormat="1" ht="12.75">
      <c r="A356" s="29" t="s">
        <v>22</v>
      </c>
      <c r="B356" s="28"/>
      <c r="C356" s="28"/>
      <c r="D356" s="28" t="s">
        <v>79</v>
      </c>
      <c r="E356" s="200">
        <v>4529</v>
      </c>
      <c r="F356" s="38">
        <v>5265</v>
      </c>
      <c r="G356" s="38">
        <v>1602.57</v>
      </c>
      <c r="H356" s="118">
        <f t="shared" si="16"/>
        <v>0.3043817663817664</v>
      </c>
      <c r="I356" s="118">
        <f t="shared" si="14"/>
        <v>0.00012928225819897136</v>
      </c>
      <c r="J356" s="42"/>
      <c r="L356" s="100"/>
    </row>
    <row r="357" spans="1:12" s="26" customFormat="1" ht="12.75">
      <c r="A357" s="29" t="s">
        <v>9</v>
      </c>
      <c r="B357" s="28"/>
      <c r="C357" s="28"/>
      <c r="D357" s="28" t="s">
        <v>80</v>
      </c>
      <c r="E357" s="200">
        <v>3838</v>
      </c>
      <c r="F357" s="38">
        <v>3538</v>
      </c>
      <c r="G357" s="38">
        <v>1655.04</v>
      </c>
      <c r="H357" s="118">
        <f t="shared" si="16"/>
        <v>0.4677897117015263</v>
      </c>
      <c r="I357" s="118">
        <f t="shared" si="14"/>
        <v>0.00013351510923680435</v>
      </c>
      <c r="J357" s="42"/>
      <c r="L357" s="100"/>
    </row>
    <row r="358" spans="1:12" s="26" customFormat="1" ht="12.75">
      <c r="A358" s="29" t="s">
        <v>427</v>
      </c>
      <c r="B358" s="28"/>
      <c r="C358" s="28"/>
      <c r="D358" s="28" t="s">
        <v>142</v>
      </c>
      <c r="E358" s="200">
        <v>1000</v>
      </c>
      <c r="F358" s="38">
        <v>1000</v>
      </c>
      <c r="G358" s="38">
        <v>0</v>
      </c>
      <c r="H358" s="118">
        <f t="shared" si="16"/>
        <v>0</v>
      </c>
      <c r="I358" s="118">
        <f t="shared" si="14"/>
        <v>0</v>
      </c>
      <c r="J358" s="42"/>
      <c r="L358" s="100"/>
    </row>
    <row r="359" spans="1:12" s="26" customFormat="1" ht="12.75">
      <c r="A359" s="29" t="s">
        <v>10</v>
      </c>
      <c r="B359" s="28"/>
      <c r="C359" s="28"/>
      <c r="D359" s="28" t="s">
        <v>149</v>
      </c>
      <c r="E359" s="200">
        <v>1332</v>
      </c>
      <c r="F359" s="38">
        <v>1002</v>
      </c>
      <c r="G359" s="38">
        <v>447.47</v>
      </c>
      <c r="H359" s="118">
        <f t="shared" si="16"/>
        <v>0.44657684630738526</v>
      </c>
      <c r="I359" s="118">
        <f t="shared" si="14"/>
        <v>3.609822477414011E-05</v>
      </c>
      <c r="J359" s="42"/>
      <c r="L359" s="100"/>
    </row>
    <row r="360" spans="1:12" s="26" customFormat="1" ht="12.75">
      <c r="A360" s="29" t="s">
        <v>11</v>
      </c>
      <c r="B360" s="28"/>
      <c r="C360" s="28"/>
      <c r="D360" s="28" t="s">
        <v>132</v>
      </c>
      <c r="E360" s="200">
        <v>153</v>
      </c>
      <c r="F360" s="38">
        <v>153</v>
      </c>
      <c r="G360" s="38">
        <v>4.43</v>
      </c>
      <c r="H360" s="118">
        <f t="shared" si="16"/>
        <v>0.02895424836601307</v>
      </c>
      <c r="I360" s="118">
        <f t="shared" si="14"/>
        <v>3.573762168401025E-07</v>
      </c>
      <c r="J360" s="42"/>
      <c r="L360" s="100"/>
    </row>
    <row r="361" spans="1:12" s="26" customFormat="1" ht="12.75">
      <c r="A361" s="29" t="s">
        <v>12</v>
      </c>
      <c r="B361" s="28"/>
      <c r="C361" s="28"/>
      <c r="D361" s="28" t="s">
        <v>76</v>
      </c>
      <c r="E361" s="200">
        <v>680</v>
      </c>
      <c r="F361" s="38">
        <v>680</v>
      </c>
      <c r="G361" s="38">
        <v>428.73</v>
      </c>
      <c r="H361" s="118">
        <f t="shared" si="16"/>
        <v>0.6304852941176471</v>
      </c>
      <c r="I361" s="118">
        <f t="shared" si="14"/>
        <v>3.458643463789101E-05</v>
      </c>
      <c r="J361" s="42"/>
      <c r="L361" s="100"/>
    </row>
    <row r="362" spans="1:12" s="26" customFormat="1" ht="12.75">
      <c r="A362" s="29" t="s">
        <v>316</v>
      </c>
      <c r="B362" s="28"/>
      <c r="C362" s="28"/>
      <c r="D362" s="28" t="s">
        <v>139</v>
      </c>
      <c r="E362" s="200">
        <v>13625</v>
      </c>
      <c r="F362" s="38">
        <v>13625</v>
      </c>
      <c r="G362" s="38">
        <v>9862.47</v>
      </c>
      <c r="H362" s="118">
        <f t="shared" si="16"/>
        <v>0.7238510091743119</v>
      </c>
      <c r="I362" s="118">
        <f t="shared" si="14"/>
        <v>0.0007956235253496627</v>
      </c>
      <c r="J362" s="42"/>
      <c r="L362" s="100"/>
    </row>
    <row r="363" spans="1:12" s="26" customFormat="1" ht="36.75" customHeight="1">
      <c r="A363" s="87" t="s">
        <v>541</v>
      </c>
      <c r="B363" s="28"/>
      <c r="C363" s="120" t="s">
        <v>503</v>
      </c>
      <c r="D363" s="28"/>
      <c r="E363" s="200">
        <v>0</v>
      </c>
      <c r="F363" s="121">
        <f>SUM(F364,F365)</f>
        <v>52410.54</v>
      </c>
      <c r="G363" s="121">
        <f>SUM(G364,G365)</f>
        <v>0</v>
      </c>
      <c r="H363" s="90">
        <f t="shared" si="16"/>
        <v>0</v>
      </c>
      <c r="I363" s="90">
        <f t="shared" si="14"/>
        <v>0</v>
      </c>
      <c r="J363" s="42"/>
      <c r="L363" s="100"/>
    </row>
    <row r="364" spans="1:12" s="26" customFormat="1" ht="12.75">
      <c r="A364" s="29" t="s">
        <v>9</v>
      </c>
      <c r="B364" s="28"/>
      <c r="C364" s="120"/>
      <c r="D364" s="28" t="s">
        <v>80</v>
      </c>
      <c r="E364" s="200">
        <v>0</v>
      </c>
      <c r="F364" s="38">
        <v>518.91</v>
      </c>
      <c r="G364" s="38">
        <v>0</v>
      </c>
      <c r="H364" s="118">
        <f t="shared" si="16"/>
        <v>0</v>
      </c>
      <c r="I364" s="118">
        <f t="shared" si="14"/>
        <v>0</v>
      </c>
      <c r="J364" s="42"/>
      <c r="L364" s="100"/>
    </row>
    <row r="365" spans="1:12" s="26" customFormat="1" ht="12.75">
      <c r="A365" s="29" t="s">
        <v>427</v>
      </c>
      <c r="B365" s="28"/>
      <c r="C365" s="120"/>
      <c r="D365" s="28" t="s">
        <v>142</v>
      </c>
      <c r="E365" s="200">
        <v>0</v>
      </c>
      <c r="F365" s="38">
        <v>51891.63</v>
      </c>
      <c r="G365" s="38">
        <v>0</v>
      </c>
      <c r="H365" s="118">
        <f t="shared" si="16"/>
        <v>0</v>
      </c>
      <c r="I365" s="118">
        <f t="shared" si="14"/>
        <v>0</v>
      </c>
      <c r="J365" s="42"/>
      <c r="L365" s="100"/>
    </row>
    <row r="366" spans="1:12" s="26" customFormat="1" ht="15" customHeight="1">
      <c r="A366" s="87" t="s">
        <v>15</v>
      </c>
      <c r="B366" s="120"/>
      <c r="C366" s="120" t="s">
        <v>138</v>
      </c>
      <c r="D366" s="120"/>
      <c r="E366" s="202">
        <v>13411</v>
      </c>
      <c r="F366" s="121">
        <f>SUM(F367:F370)</f>
        <v>13411</v>
      </c>
      <c r="G366" s="121">
        <f>SUM(G367:G370)</f>
        <v>0</v>
      </c>
      <c r="H366" s="90">
        <f t="shared" si="12"/>
        <v>0</v>
      </c>
      <c r="I366" s="90">
        <f t="shared" si="14"/>
        <v>0</v>
      </c>
      <c r="J366" s="122"/>
      <c r="L366" s="100"/>
    </row>
    <row r="367" spans="1:12" s="26" customFormat="1" ht="12.75">
      <c r="A367" s="29" t="s">
        <v>314</v>
      </c>
      <c r="B367" s="28"/>
      <c r="C367" s="28"/>
      <c r="D367" s="28" t="s">
        <v>95</v>
      </c>
      <c r="E367" s="200">
        <v>10111</v>
      </c>
      <c r="F367" s="38">
        <v>10111</v>
      </c>
      <c r="G367" s="38">
        <v>0</v>
      </c>
      <c r="H367" s="118">
        <f t="shared" si="12"/>
        <v>0</v>
      </c>
      <c r="I367" s="118">
        <f t="shared" si="14"/>
        <v>0</v>
      </c>
      <c r="J367" s="42"/>
      <c r="L367" s="100"/>
    </row>
    <row r="368" spans="1:12" s="26" customFormat="1" ht="12.75">
      <c r="A368" s="29" t="s">
        <v>195</v>
      </c>
      <c r="B368" s="28"/>
      <c r="C368" s="28"/>
      <c r="D368" s="28" t="s">
        <v>160</v>
      </c>
      <c r="E368" s="200">
        <v>1800</v>
      </c>
      <c r="F368" s="38">
        <v>1800</v>
      </c>
      <c r="G368" s="38">
        <v>0</v>
      </c>
      <c r="H368" s="118">
        <f t="shared" si="12"/>
        <v>0</v>
      </c>
      <c r="I368" s="227">
        <f t="shared" si="14"/>
        <v>0</v>
      </c>
      <c r="J368" s="42"/>
      <c r="L368" s="100"/>
    </row>
    <row r="369" spans="1:12" s="26" customFormat="1" ht="12.75">
      <c r="A369" s="29" t="s">
        <v>387</v>
      </c>
      <c r="B369" s="28"/>
      <c r="C369" s="28"/>
      <c r="D369" s="28" t="s">
        <v>383</v>
      </c>
      <c r="E369" s="200">
        <v>1000</v>
      </c>
      <c r="F369" s="38">
        <v>1000</v>
      </c>
      <c r="G369" s="38">
        <v>0</v>
      </c>
      <c r="H369" s="118">
        <f t="shared" si="12"/>
        <v>0</v>
      </c>
      <c r="I369" s="118">
        <f aca="true" t="shared" si="17" ref="I369:I430">G369/12395900.43</f>
        <v>0</v>
      </c>
      <c r="J369" s="42"/>
      <c r="L369" s="100"/>
    </row>
    <row r="370" spans="1:12" s="89" customFormat="1" ht="12.75">
      <c r="A370" s="29" t="s">
        <v>9</v>
      </c>
      <c r="B370" s="28"/>
      <c r="C370" s="28"/>
      <c r="D370" s="28" t="s">
        <v>80</v>
      </c>
      <c r="E370" s="200">
        <v>500</v>
      </c>
      <c r="F370" s="38">
        <v>500</v>
      </c>
      <c r="G370" s="38">
        <v>0</v>
      </c>
      <c r="H370" s="118">
        <f t="shared" si="12"/>
        <v>0</v>
      </c>
      <c r="I370" s="227">
        <f t="shared" si="17"/>
        <v>0</v>
      </c>
      <c r="J370" s="42"/>
      <c r="L370" s="130"/>
    </row>
    <row r="371" spans="1:12" s="26" customFormat="1" ht="15" customHeight="1">
      <c r="A371" s="20" t="s">
        <v>48</v>
      </c>
      <c r="B371" s="16">
        <v>851</v>
      </c>
      <c r="C371" s="16"/>
      <c r="D371" s="16"/>
      <c r="E371" s="201">
        <f>SUM(E374,E377,E372)</f>
        <v>160000</v>
      </c>
      <c r="F371" s="201">
        <f>SUM(F374,F377,F372)</f>
        <v>207452</v>
      </c>
      <c r="G371" s="201">
        <f>SUM(G374,G377,G372)</f>
        <v>94473.69000000002</v>
      </c>
      <c r="H371" s="30">
        <f t="shared" si="12"/>
        <v>0.4554002371632957</v>
      </c>
      <c r="I371" s="30">
        <f t="shared" si="17"/>
        <v>0.007621365671134229</v>
      </c>
      <c r="J371" s="83">
        <v>0</v>
      </c>
      <c r="L371" s="100"/>
    </row>
    <row r="372" spans="1:12" s="26" customFormat="1" ht="15" customHeight="1" hidden="1">
      <c r="A372" s="189" t="s">
        <v>488</v>
      </c>
      <c r="B372" s="178"/>
      <c r="C372" s="178" t="s">
        <v>489</v>
      </c>
      <c r="D372" s="178"/>
      <c r="E372" s="205">
        <f>E373</f>
        <v>0</v>
      </c>
      <c r="F372" s="205">
        <f>F373</f>
        <v>0</v>
      </c>
      <c r="G372" s="205">
        <f>G373</f>
        <v>0</v>
      </c>
      <c r="H372" s="181" t="e">
        <f t="shared" si="12"/>
        <v>#DIV/0!</v>
      </c>
      <c r="I372" s="227">
        <f t="shared" si="17"/>
        <v>0</v>
      </c>
      <c r="J372" s="180"/>
      <c r="L372" s="100"/>
    </row>
    <row r="373" spans="1:12" s="103" customFormat="1" ht="38.25" hidden="1">
      <c r="A373" s="29" t="s">
        <v>490</v>
      </c>
      <c r="B373" s="16"/>
      <c r="C373" s="16"/>
      <c r="D373" s="28" t="s">
        <v>491</v>
      </c>
      <c r="E373" s="200">
        <v>0</v>
      </c>
      <c r="F373" s="38">
        <v>0</v>
      </c>
      <c r="G373" s="38">
        <v>0</v>
      </c>
      <c r="H373" s="118" t="e">
        <f t="shared" si="12"/>
        <v>#DIV/0!</v>
      </c>
      <c r="I373" s="118">
        <f t="shared" si="17"/>
        <v>0</v>
      </c>
      <c r="J373" s="83"/>
      <c r="L373" s="155"/>
    </row>
    <row r="374" spans="1:12" s="26" customFormat="1" ht="15" customHeight="1">
      <c r="A374" s="131" t="s">
        <v>140</v>
      </c>
      <c r="B374" s="125"/>
      <c r="C374" s="125" t="s">
        <v>141</v>
      </c>
      <c r="D374" s="125"/>
      <c r="E374" s="205">
        <f>SUM(E376:E376)</f>
        <v>6000</v>
      </c>
      <c r="F374" s="121">
        <f>SUM(F375:F376)</f>
        <v>6000</v>
      </c>
      <c r="G374" s="121">
        <f>SUM(G375:G376)</f>
        <v>1920</v>
      </c>
      <c r="H374" s="90">
        <f t="shared" si="12"/>
        <v>0.32</v>
      </c>
      <c r="I374" s="90">
        <f t="shared" si="17"/>
        <v>0.0001548899179081257</v>
      </c>
      <c r="J374" s="122"/>
      <c r="L374" s="100"/>
    </row>
    <row r="375" spans="1:12" s="26" customFormat="1" ht="12.75" hidden="1">
      <c r="A375" s="23" t="s">
        <v>9</v>
      </c>
      <c r="B375" s="21"/>
      <c r="C375" s="21"/>
      <c r="D375" s="21" t="s">
        <v>80</v>
      </c>
      <c r="E375" s="206">
        <v>0</v>
      </c>
      <c r="F375" s="38">
        <v>0</v>
      </c>
      <c r="G375" s="38">
        <v>0</v>
      </c>
      <c r="H375" s="30"/>
      <c r="I375" s="118">
        <f t="shared" si="17"/>
        <v>0</v>
      </c>
      <c r="J375" s="42"/>
      <c r="L375" s="100"/>
    </row>
    <row r="376" spans="1:12" s="26" customFormat="1" ht="12.75">
      <c r="A376" s="29" t="s">
        <v>12</v>
      </c>
      <c r="B376" s="21"/>
      <c r="C376" s="21"/>
      <c r="D376" s="21" t="s">
        <v>76</v>
      </c>
      <c r="E376" s="206">
        <v>6000</v>
      </c>
      <c r="F376" s="38">
        <v>6000</v>
      </c>
      <c r="G376" s="38">
        <v>1920</v>
      </c>
      <c r="H376" s="118">
        <f t="shared" si="12"/>
        <v>0.32</v>
      </c>
      <c r="I376" s="227">
        <f t="shared" si="17"/>
        <v>0.0001548899179081257</v>
      </c>
      <c r="J376" s="42"/>
      <c r="K376"/>
      <c r="L376" s="100"/>
    </row>
    <row r="377" spans="1:12" s="89" customFormat="1" ht="15" customHeight="1">
      <c r="A377" s="87" t="s">
        <v>49</v>
      </c>
      <c r="B377" s="120"/>
      <c r="C377" s="120">
        <v>85154</v>
      </c>
      <c r="D377" s="120"/>
      <c r="E377" s="202">
        <f>SUM(E378:E400)</f>
        <v>154000</v>
      </c>
      <c r="F377" s="123">
        <f>SUM(F378:F401)</f>
        <v>201452</v>
      </c>
      <c r="G377" s="123">
        <f>SUM(G378:G401)</f>
        <v>92553.69000000002</v>
      </c>
      <c r="H377" s="90">
        <f t="shared" si="12"/>
        <v>0.4594329666620337</v>
      </c>
      <c r="I377" s="90">
        <f t="shared" si="17"/>
        <v>0.007466475753226102</v>
      </c>
      <c r="J377" s="122"/>
      <c r="L377" s="130"/>
    </row>
    <row r="378" spans="1:12" s="26" customFormat="1" ht="12.75">
      <c r="A378" s="22" t="s">
        <v>314</v>
      </c>
      <c r="B378" s="120"/>
      <c r="C378" s="120"/>
      <c r="D378" s="28" t="s">
        <v>95</v>
      </c>
      <c r="E378" s="200">
        <v>100</v>
      </c>
      <c r="F378" s="41">
        <v>100</v>
      </c>
      <c r="G378" s="38">
        <v>0</v>
      </c>
      <c r="H378" s="118">
        <f t="shared" si="12"/>
        <v>0</v>
      </c>
      <c r="I378" s="227">
        <f t="shared" si="17"/>
        <v>0</v>
      </c>
      <c r="J378" s="38"/>
      <c r="L378" s="100"/>
    </row>
    <row r="379" spans="1:12" s="26" customFormat="1" ht="12.75">
      <c r="A379" s="22" t="s">
        <v>23</v>
      </c>
      <c r="B379" s="120"/>
      <c r="C379" s="120"/>
      <c r="D379" s="28" t="s">
        <v>77</v>
      </c>
      <c r="E379" s="200">
        <v>200</v>
      </c>
      <c r="F379" s="41">
        <v>200</v>
      </c>
      <c r="G379" s="38">
        <v>0</v>
      </c>
      <c r="H379" s="118">
        <f t="shared" si="12"/>
        <v>0</v>
      </c>
      <c r="I379" s="118">
        <f t="shared" si="17"/>
        <v>0</v>
      </c>
      <c r="J379" s="38"/>
      <c r="L379" s="100"/>
    </row>
    <row r="380" spans="1:12" s="26" customFormat="1" ht="12.75">
      <c r="A380" s="19" t="s">
        <v>182</v>
      </c>
      <c r="B380" s="18"/>
      <c r="C380" s="18"/>
      <c r="D380" s="18" t="s">
        <v>146</v>
      </c>
      <c r="E380" s="203">
        <v>33500</v>
      </c>
      <c r="F380" s="42">
        <v>9179</v>
      </c>
      <c r="G380" s="42">
        <v>9178.56</v>
      </c>
      <c r="H380" s="118">
        <f t="shared" si="12"/>
        <v>0.9999520644950429</v>
      </c>
      <c r="I380" s="118">
        <f t="shared" si="17"/>
        <v>0.0007404512525597948</v>
      </c>
      <c r="J380" s="42"/>
      <c r="L380" s="100"/>
    </row>
    <row r="381" spans="1:12" s="89" customFormat="1" ht="12.75">
      <c r="A381" s="19" t="s">
        <v>20</v>
      </c>
      <c r="B381" s="18"/>
      <c r="C381" s="18"/>
      <c r="D381" s="18" t="s">
        <v>164</v>
      </c>
      <c r="E381" s="203">
        <v>2576</v>
      </c>
      <c r="F381" s="42">
        <v>2533</v>
      </c>
      <c r="G381" s="42">
        <v>2533</v>
      </c>
      <c r="H381" s="118">
        <f t="shared" si="12"/>
        <v>1</v>
      </c>
      <c r="I381" s="118">
        <f t="shared" si="17"/>
        <v>0.0002043417510735846</v>
      </c>
      <c r="J381" s="42"/>
      <c r="L381" s="130"/>
    </row>
    <row r="382" spans="1:12" s="89" customFormat="1" ht="12.75">
      <c r="A382" s="29" t="s">
        <v>21</v>
      </c>
      <c r="B382" s="18"/>
      <c r="C382" s="18"/>
      <c r="D382" s="28" t="s">
        <v>78</v>
      </c>
      <c r="E382" s="203">
        <v>6185</v>
      </c>
      <c r="F382" s="42">
        <v>3285</v>
      </c>
      <c r="G382" s="42">
        <v>2679.5</v>
      </c>
      <c r="H382" s="118">
        <f t="shared" si="12"/>
        <v>0.8156773211567732</v>
      </c>
      <c r="I382" s="118">
        <f t="shared" si="17"/>
        <v>0.00021616017449730353</v>
      </c>
      <c r="J382" s="42"/>
      <c r="L382" s="130"/>
    </row>
    <row r="383" spans="1:12" s="26" customFormat="1" ht="12.75">
      <c r="A383" s="19" t="s">
        <v>223</v>
      </c>
      <c r="B383" s="18"/>
      <c r="C383" s="18"/>
      <c r="D383" s="28" t="s">
        <v>79</v>
      </c>
      <c r="E383" s="203">
        <v>883</v>
      </c>
      <c r="F383" s="42">
        <v>287</v>
      </c>
      <c r="G383" s="42">
        <v>286.93</v>
      </c>
      <c r="H383" s="118">
        <f t="shared" si="12"/>
        <v>0.9997560975609756</v>
      </c>
      <c r="I383" s="118">
        <f t="shared" si="17"/>
        <v>2.3147168825717973E-05</v>
      </c>
      <c r="J383" s="42"/>
      <c r="L383" s="98"/>
    </row>
    <row r="384" spans="1:12" s="26" customFormat="1" ht="12.75">
      <c r="A384" s="29" t="s">
        <v>159</v>
      </c>
      <c r="B384" s="18"/>
      <c r="C384" s="18"/>
      <c r="D384" s="28" t="s">
        <v>160</v>
      </c>
      <c r="E384" s="203">
        <v>40000</v>
      </c>
      <c r="F384" s="45">
        <v>50000</v>
      </c>
      <c r="G384" s="45">
        <v>19987.59</v>
      </c>
      <c r="H384" s="118">
        <f t="shared" si="12"/>
        <v>0.3997518</v>
      </c>
      <c r="I384" s="118">
        <f t="shared" si="17"/>
        <v>0.0016124355074381637</v>
      </c>
      <c r="J384" s="42"/>
      <c r="L384" s="98"/>
    </row>
    <row r="385" spans="1:12" s="26" customFormat="1" ht="12.75">
      <c r="A385" s="29" t="s">
        <v>387</v>
      </c>
      <c r="B385" s="18"/>
      <c r="C385" s="18"/>
      <c r="D385" s="28" t="s">
        <v>383</v>
      </c>
      <c r="E385" s="203">
        <v>12000</v>
      </c>
      <c r="F385" s="45">
        <v>25000</v>
      </c>
      <c r="G385" s="45">
        <v>19362.47</v>
      </c>
      <c r="H385" s="118">
        <f t="shared" si="12"/>
        <v>0.7744988</v>
      </c>
      <c r="I385" s="118">
        <f t="shared" si="17"/>
        <v>0.0015620059316659098</v>
      </c>
      <c r="J385" s="42"/>
      <c r="L385" s="98"/>
    </row>
    <row r="386" spans="1:12" s="26" customFormat="1" ht="12.75">
      <c r="A386" s="29" t="s">
        <v>9</v>
      </c>
      <c r="B386" s="18"/>
      <c r="C386" s="18"/>
      <c r="D386" s="18">
        <v>4210</v>
      </c>
      <c r="E386" s="203">
        <v>18000</v>
      </c>
      <c r="F386" s="45">
        <v>51774</v>
      </c>
      <c r="G386" s="45">
        <v>17116.03</v>
      </c>
      <c r="H386" s="118">
        <f t="shared" si="12"/>
        <v>0.3305912233939815</v>
      </c>
      <c r="I386" s="118">
        <f t="shared" si="17"/>
        <v>0.0013807815008401129</v>
      </c>
      <c r="J386" s="42"/>
      <c r="L386" s="98"/>
    </row>
    <row r="387" spans="1:12" s="26" customFormat="1" ht="12.75">
      <c r="A387" s="29" t="s">
        <v>57</v>
      </c>
      <c r="B387" s="18"/>
      <c r="C387" s="18"/>
      <c r="D387" s="28" t="s">
        <v>135</v>
      </c>
      <c r="E387" s="203">
        <v>5000</v>
      </c>
      <c r="F387" s="52">
        <v>7000</v>
      </c>
      <c r="G387" s="38">
        <v>5601.99</v>
      </c>
      <c r="H387" s="118">
        <f t="shared" si="12"/>
        <v>0.8002842857142857</v>
      </c>
      <c r="I387" s="118">
        <f t="shared" si="17"/>
        <v>0.0004519227975115318</v>
      </c>
      <c r="J387" s="42"/>
      <c r="L387" s="98"/>
    </row>
    <row r="388" spans="1:12" ht="12.75">
      <c r="A388" s="29" t="s">
        <v>427</v>
      </c>
      <c r="B388" s="18"/>
      <c r="C388" s="18"/>
      <c r="D388" s="28" t="s">
        <v>142</v>
      </c>
      <c r="E388" s="203">
        <v>3400</v>
      </c>
      <c r="F388" s="52">
        <v>3400</v>
      </c>
      <c r="G388" s="38">
        <v>776.69</v>
      </c>
      <c r="H388" s="118">
        <f t="shared" si="12"/>
        <v>0.22843823529411766</v>
      </c>
      <c r="I388" s="118">
        <f t="shared" si="17"/>
        <v>6.265700538544904E-05</v>
      </c>
      <c r="J388" s="42"/>
      <c r="L388" s="98"/>
    </row>
    <row r="389" spans="1:12" s="26" customFormat="1" ht="12.75">
      <c r="A389" s="29" t="s">
        <v>10</v>
      </c>
      <c r="B389" s="18"/>
      <c r="C389" s="18"/>
      <c r="D389" s="28" t="s">
        <v>149</v>
      </c>
      <c r="E389" s="203">
        <v>100</v>
      </c>
      <c r="F389" s="52">
        <v>100</v>
      </c>
      <c r="G389" s="38">
        <v>0</v>
      </c>
      <c r="H389" s="118">
        <f t="shared" si="12"/>
        <v>0</v>
      </c>
      <c r="I389" s="118">
        <f t="shared" si="17"/>
        <v>0</v>
      </c>
      <c r="J389" s="42"/>
      <c r="L389" s="98"/>
    </row>
    <row r="390" spans="1:12" s="26" customFormat="1" ht="12.75">
      <c r="A390" s="29" t="s">
        <v>11</v>
      </c>
      <c r="B390" s="18"/>
      <c r="C390" s="18"/>
      <c r="D390" s="28" t="s">
        <v>132</v>
      </c>
      <c r="E390" s="203">
        <v>500</v>
      </c>
      <c r="F390" s="52">
        <v>500</v>
      </c>
      <c r="G390" s="38">
        <v>0</v>
      </c>
      <c r="H390" s="118">
        <f t="shared" si="12"/>
        <v>0</v>
      </c>
      <c r="I390" s="118">
        <f t="shared" si="17"/>
        <v>0</v>
      </c>
      <c r="J390" s="42"/>
      <c r="L390" s="98"/>
    </row>
    <row r="391" spans="1:12" s="26" customFormat="1" ht="12.75">
      <c r="A391" s="29" t="s">
        <v>45</v>
      </c>
      <c r="B391" s="18"/>
      <c r="C391" s="18"/>
      <c r="D391" s="28" t="s">
        <v>134</v>
      </c>
      <c r="E391" s="203">
        <v>100</v>
      </c>
      <c r="F391" s="52">
        <v>100</v>
      </c>
      <c r="G391" s="38">
        <v>0</v>
      </c>
      <c r="H391" s="118">
        <f t="shared" si="12"/>
        <v>0</v>
      </c>
      <c r="I391" s="118">
        <f t="shared" si="17"/>
        <v>0</v>
      </c>
      <c r="J391" s="42"/>
      <c r="L391" s="98"/>
    </row>
    <row r="392" spans="1:12" s="26" customFormat="1" ht="12.75">
      <c r="A392" s="19" t="s">
        <v>12</v>
      </c>
      <c r="B392" s="18"/>
      <c r="C392" s="18"/>
      <c r="D392" s="18">
        <v>4300</v>
      </c>
      <c r="E392" s="203">
        <v>15520</v>
      </c>
      <c r="F392" s="52">
        <v>30972</v>
      </c>
      <c r="G392" s="38">
        <v>11430.24</v>
      </c>
      <c r="H392" s="118">
        <f t="shared" si="12"/>
        <v>0.3690507555211158</v>
      </c>
      <c r="I392" s="118">
        <f t="shared" si="17"/>
        <v>0.0009220984037865493</v>
      </c>
      <c r="J392" s="42"/>
      <c r="L392" s="98"/>
    </row>
    <row r="393" spans="1:12" s="26" customFormat="1" ht="24">
      <c r="A393" s="133" t="s">
        <v>323</v>
      </c>
      <c r="B393" s="18"/>
      <c r="C393" s="18"/>
      <c r="D393" s="18" t="s">
        <v>172</v>
      </c>
      <c r="E393" s="203">
        <v>8000</v>
      </c>
      <c r="F393" s="52">
        <v>10000</v>
      </c>
      <c r="G393" s="38">
        <v>1272</v>
      </c>
      <c r="H393" s="118">
        <f t="shared" si="12"/>
        <v>0.1272</v>
      </c>
      <c r="I393" s="118">
        <f t="shared" si="17"/>
        <v>0.00010261457061413327</v>
      </c>
      <c r="J393" s="42"/>
      <c r="L393" s="98"/>
    </row>
    <row r="394" spans="1:12" ht="12.75">
      <c r="A394" s="29" t="s">
        <v>394</v>
      </c>
      <c r="B394" s="18"/>
      <c r="C394" s="18"/>
      <c r="D394" s="18" t="s">
        <v>194</v>
      </c>
      <c r="E394" s="203">
        <v>900</v>
      </c>
      <c r="F394" s="52">
        <v>900</v>
      </c>
      <c r="G394" s="38">
        <v>361.62</v>
      </c>
      <c r="H394" s="118">
        <f t="shared" si="12"/>
        <v>0.4018</v>
      </c>
      <c r="I394" s="118">
        <f t="shared" si="17"/>
        <v>2.917254797600855E-05</v>
      </c>
      <c r="J394" s="42"/>
      <c r="L394" s="98"/>
    </row>
    <row r="395" spans="1:12" ht="12.75">
      <c r="A395" s="50" t="s">
        <v>205</v>
      </c>
      <c r="B395" s="18"/>
      <c r="C395" s="18"/>
      <c r="D395" s="28" t="s">
        <v>206</v>
      </c>
      <c r="E395" s="203">
        <v>3750</v>
      </c>
      <c r="F395" s="52">
        <v>3750</v>
      </c>
      <c r="G395" s="38">
        <v>1535.36</v>
      </c>
      <c r="H395" s="118">
        <f t="shared" si="12"/>
        <v>0.4094293333333333</v>
      </c>
      <c r="I395" s="118">
        <f t="shared" si="17"/>
        <v>0.0001238603043538645</v>
      </c>
      <c r="J395" s="42"/>
      <c r="L395" s="98"/>
    </row>
    <row r="396" spans="1:12" ht="12.75">
      <c r="A396" s="19" t="s">
        <v>25</v>
      </c>
      <c r="B396" s="18"/>
      <c r="C396" s="18"/>
      <c r="D396" s="18">
        <v>4410</v>
      </c>
      <c r="E396" s="203">
        <v>200</v>
      </c>
      <c r="F396" s="52">
        <v>200</v>
      </c>
      <c r="G396" s="38">
        <v>0</v>
      </c>
      <c r="H396" s="118">
        <f t="shared" si="12"/>
        <v>0</v>
      </c>
      <c r="I396" s="118">
        <f t="shared" si="17"/>
        <v>0</v>
      </c>
      <c r="J396" s="42"/>
      <c r="L396" s="98"/>
    </row>
    <row r="397" spans="1:12" ht="12.75">
      <c r="A397" s="29" t="s">
        <v>26</v>
      </c>
      <c r="B397" s="18"/>
      <c r="C397" s="18"/>
      <c r="D397" s="28" t="s">
        <v>89</v>
      </c>
      <c r="E397" s="203">
        <v>500</v>
      </c>
      <c r="F397" s="52">
        <v>500</v>
      </c>
      <c r="G397" s="38">
        <v>0</v>
      </c>
      <c r="H397" s="118">
        <f t="shared" si="12"/>
        <v>0</v>
      </c>
      <c r="I397" s="118">
        <f t="shared" si="17"/>
        <v>0</v>
      </c>
      <c r="J397" s="42"/>
      <c r="L397" s="98"/>
    </row>
    <row r="398" spans="1:12" ht="12.75">
      <c r="A398" s="31" t="s">
        <v>316</v>
      </c>
      <c r="B398" s="18"/>
      <c r="C398" s="18"/>
      <c r="D398" s="32" t="s">
        <v>139</v>
      </c>
      <c r="E398" s="203">
        <v>1186</v>
      </c>
      <c r="F398" s="52">
        <v>272</v>
      </c>
      <c r="G398" s="38">
        <v>271.71</v>
      </c>
      <c r="H398" s="118">
        <f t="shared" si="12"/>
        <v>0.9989338235294117</v>
      </c>
      <c r="I398" s="118">
        <f t="shared" si="17"/>
        <v>2.1919343538967098E-05</v>
      </c>
      <c r="J398" s="42"/>
      <c r="L398" s="98"/>
    </row>
    <row r="399" spans="1:12" ht="12.75">
      <c r="A399" s="29" t="s">
        <v>90</v>
      </c>
      <c r="B399" s="18"/>
      <c r="C399" s="18"/>
      <c r="D399" s="28" t="s">
        <v>91</v>
      </c>
      <c r="E399" s="203">
        <v>1000</v>
      </c>
      <c r="F399" s="52">
        <v>1000</v>
      </c>
      <c r="G399" s="38">
        <v>160</v>
      </c>
      <c r="H399" s="118">
        <f t="shared" si="12"/>
        <v>0.16</v>
      </c>
      <c r="I399" s="118">
        <f t="shared" si="17"/>
        <v>1.2907493159010475E-05</v>
      </c>
      <c r="J399" s="42"/>
      <c r="L399" s="98"/>
    </row>
    <row r="400" spans="1:12" ht="25.5">
      <c r="A400" s="29" t="s">
        <v>207</v>
      </c>
      <c r="B400" s="18"/>
      <c r="C400" s="18"/>
      <c r="D400" s="28" t="s">
        <v>193</v>
      </c>
      <c r="E400" s="203">
        <v>400</v>
      </c>
      <c r="F400" s="52">
        <v>400</v>
      </c>
      <c r="G400" s="38">
        <v>0</v>
      </c>
      <c r="H400" s="118">
        <f t="shared" si="12"/>
        <v>0</v>
      </c>
      <c r="I400" s="118">
        <f t="shared" si="17"/>
        <v>0</v>
      </c>
      <c r="J400" s="42"/>
      <c r="L400" s="98"/>
    </row>
    <row r="401" spans="1:12" ht="12.75" customHeight="1" hidden="1">
      <c r="A401" s="29" t="s">
        <v>363</v>
      </c>
      <c r="B401" s="18"/>
      <c r="C401" s="18"/>
      <c r="D401" s="28" t="s">
        <v>144</v>
      </c>
      <c r="E401" s="203">
        <v>0</v>
      </c>
      <c r="F401" s="52">
        <v>0</v>
      </c>
      <c r="G401" s="38">
        <v>0</v>
      </c>
      <c r="H401" s="118" t="e">
        <f t="shared" si="12"/>
        <v>#DIV/0!</v>
      </c>
      <c r="I401" s="118">
        <f t="shared" si="17"/>
        <v>0</v>
      </c>
      <c r="J401" s="42"/>
      <c r="L401" s="98"/>
    </row>
    <row r="402" spans="1:12" ht="18" customHeight="1">
      <c r="A402" s="20" t="s">
        <v>143</v>
      </c>
      <c r="B402" s="16" t="s">
        <v>124</v>
      </c>
      <c r="C402" s="16"/>
      <c r="D402" s="16"/>
      <c r="E402" s="201">
        <f>SUM(E403,E409,E411,E415,E421,E444,E451,E465,E418,E405,E463)</f>
        <v>1617086</v>
      </c>
      <c r="F402" s="201">
        <f>SUM(F403,F409,F411,F415,F421,F444,F451,F465,F418,F405,F463)</f>
        <v>1630387.36</v>
      </c>
      <c r="G402" s="201">
        <f>SUM(G403,G409,G411,G415,G421,G444,G451,G465,G418,G405,G463)</f>
        <v>839446.4700000001</v>
      </c>
      <c r="H402" s="30">
        <f t="shared" si="12"/>
        <v>0.5148754771994798</v>
      </c>
      <c r="I402" s="90">
        <f t="shared" si="17"/>
        <v>0.06771968480550308</v>
      </c>
      <c r="J402" s="83">
        <v>0</v>
      </c>
      <c r="L402" s="98"/>
    </row>
    <row r="403" spans="1:12" ht="15" customHeight="1">
      <c r="A403" s="87" t="s">
        <v>170</v>
      </c>
      <c r="B403" s="125"/>
      <c r="C403" s="120" t="s">
        <v>171</v>
      </c>
      <c r="D403" s="120"/>
      <c r="E403" s="209">
        <f>SUM(E404)</f>
        <v>185180</v>
      </c>
      <c r="F403" s="121">
        <f>F404</f>
        <v>185180</v>
      </c>
      <c r="G403" s="121">
        <f>G404</f>
        <v>68647.52</v>
      </c>
      <c r="H403" s="90">
        <f t="shared" si="12"/>
        <v>0.3707069877956583</v>
      </c>
      <c r="I403" s="90">
        <f t="shared" si="17"/>
        <v>0.005537921217393968</v>
      </c>
      <c r="J403" s="122"/>
      <c r="L403" s="98"/>
    </row>
    <row r="404" spans="1:12" s="103" customFormat="1" ht="24">
      <c r="A404" s="133" t="s">
        <v>323</v>
      </c>
      <c r="B404" s="16"/>
      <c r="C404" s="16"/>
      <c r="D404" s="32" t="s">
        <v>172</v>
      </c>
      <c r="E404" s="208">
        <v>185180</v>
      </c>
      <c r="F404" s="52">
        <v>185180</v>
      </c>
      <c r="G404" s="52">
        <v>68647.52</v>
      </c>
      <c r="H404" s="118">
        <f>G404/F404</f>
        <v>0.3707069877956583</v>
      </c>
      <c r="I404" s="118">
        <f t="shared" si="17"/>
        <v>0.005537921217393968</v>
      </c>
      <c r="J404" s="42"/>
      <c r="L404" s="109"/>
    </row>
    <row r="405" spans="1:12" ht="15" customHeight="1">
      <c r="A405" s="138" t="s">
        <v>340</v>
      </c>
      <c r="B405" s="125"/>
      <c r="C405" s="125" t="s">
        <v>341</v>
      </c>
      <c r="D405" s="120"/>
      <c r="E405" s="202">
        <f>E406+E407+E408</f>
        <v>2700</v>
      </c>
      <c r="F405" s="123">
        <f>F406+F407+F408</f>
        <v>2700</v>
      </c>
      <c r="G405" s="123">
        <f>G406+G407+G408</f>
        <v>28.55</v>
      </c>
      <c r="H405" s="90">
        <f t="shared" si="12"/>
        <v>0.010574074074074074</v>
      </c>
      <c r="I405" s="90">
        <f t="shared" si="17"/>
        <v>2.3031808105609318E-06</v>
      </c>
      <c r="J405" s="122"/>
      <c r="L405" s="98"/>
    </row>
    <row r="406" spans="1:12" s="89" customFormat="1" ht="12.75">
      <c r="A406" s="133" t="s">
        <v>9</v>
      </c>
      <c r="B406" s="16"/>
      <c r="C406" s="16"/>
      <c r="D406" s="28" t="s">
        <v>80</v>
      </c>
      <c r="E406" s="208">
        <v>1200</v>
      </c>
      <c r="F406" s="99">
        <v>1200</v>
      </c>
      <c r="G406" s="52">
        <v>28.55</v>
      </c>
      <c r="H406" s="118">
        <f t="shared" si="12"/>
        <v>0.023791666666666666</v>
      </c>
      <c r="I406" s="118">
        <f t="shared" si="17"/>
        <v>2.3031808105609318E-06</v>
      </c>
      <c r="J406" s="42"/>
      <c r="L406" s="128"/>
    </row>
    <row r="407" spans="1:12" ht="12.75">
      <c r="A407" s="133" t="s">
        <v>25</v>
      </c>
      <c r="B407" s="16"/>
      <c r="C407" s="16"/>
      <c r="D407" s="28" t="s">
        <v>81</v>
      </c>
      <c r="E407" s="208">
        <v>500</v>
      </c>
      <c r="F407" s="99">
        <v>500</v>
      </c>
      <c r="G407" s="52">
        <v>0</v>
      </c>
      <c r="H407" s="118">
        <f t="shared" si="12"/>
        <v>0</v>
      </c>
      <c r="I407" s="118">
        <f t="shared" si="17"/>
        <v>0</v>
      </c>
      <c r="J407" s="42"/>
      <c r="L407" s="98"/>
    </row>
    <row r="408" spans="1:12" s="89" customFormat="1" ht="25.5">
      <c r="A408" s="29" t="s">
        <v>207</v>
      </c>
      <c r="B408" s="16"/>
      <c r="C408" s="16"/>
      <c r="D408" s="28" t="s">
        <v>193</v>
      </c>
      <c r="E408" s="208">
        <v>1000</v>
      </c>
      <c r="F408" s="99">
        <v>1000</v>
      </c>
      <c r="G408" s="52">
        <v>0</v>
      </c>
      <c r="H408" s="118">
        <f t="shared" si="12"/>
        <v>0</v>
      </c>
      <c r="I408" s="118">
        <f t="shared" si="17"/>
        <v>0</v>
      </c>
      <c r="J408" s="42"/>
      <c r="L408" s="128"/>
    </row>
    <row r="409" spans="1:12" ht="48">
      <c r="A409" s="138" t="s">
        <v>397</v>
      </c>
      <c r="B409" s="120"/>
      <c r="C409" s="120" t="s">
        <v>125</v>
      </c>
      <c r="D409" s="120"/>
      <c r="E409" s="202">
        <f>SUM(E410)</f>
        <v>52000</v>
      </c>
      <c r="F409" s="121">
        <f>F410</f>
        <v>52000</v>
      </c>
      <c r="G409" s="121">
        <f>G410</f>
        <v>28074.07</v>
      </c>
      <c r="H409" s="90">
        <f aca="true" t="shared" si="18" ref="H409:H459">G409/F409</f>
        <v>0.5398859615384616</v>
      </c>
      <c r="I409" s="90">
        <f t="shared" si="17"/>
        <v>0.0022647866654411323</v>
      </c>
      <c r="J409" s="122"/>
      <c r="L409" s="98"/>
    </row>
    <row r="410" spans="1:12" ht="12.75">
      <c r="A410" s="19" t="s">
        <v>51</v>
      </c>
      <c r="B410" s="18"/>
      <c r="C410" s="18"/>
      <c r="D410" s="18">
        <v>4130</v>
      </c>
      <c r="E410" s="203">
        <v>52000</v>
      </c>
      <c r="F410" s="43">
        <v>52000</v>
      </c>
      <c r="G410" s="43">
        <v>28074.07</v>
      </c>
      <c r="H410" s="118">
        <f t="shared" si="18"/>
        <v>0.5398859615384616</v>
      </c>
      <c r="I410" s="118">
        <f t="shared" si="17"/>
        <v>0.0022647866654411323</v>
      </c>
      <c r="J410" s="42"/>
      <c r="L410" s="98"/>
    </row>
    <row r="411" spans="1:12" ht="25.5" customHeight="1">
      <c r="A411" s="87" t="s">
        <v>230</v>
      </c>
      <c r="B411" s="120"/>
      <c r="C411" s="120" t="s">
        <v>126</v>
      </c>
      <c r="D411" s="120"/>
      <c r="E411" s="202">
        <f>SUM(E413,E414)</f>
        <v>194500</v>
      </c>
      <c r="F411" s="121">
        <f>F413+F414+F412</f>
        <v>191950</v>
      </c>
      <c r="G411" s="121">
        <f>SUM(G412,G413,G414)</f>
        <v>132035.92</v>
      </c>
      <c r="H411" s="90">
        <f t="shared" si="18"/>
        <v>0.6878662151601981</v>
      </c>
      <c r="I411" s="90">
        <f t="shared" si="17"/>
        <v>0.01065157958839784</v>
      </c>
      <c r="J411" s="122"/>
      <c r="L411" s="98"/>
    </row>
    <row r="412" spans="1:12" ht="36" customHeight="1">
      <c r="A412" s="244" t="s">
        <v>324</v>
      </c>
      <c r="B412" s="120"/>
      <c r="C412" s="120"/>
      <c r="D412" s="28" t="s">
        <v>244</v>
      </c>
      <c r="E412" s="200">
        <v>0</v>
      </c>
      <c r="F412" s="38">
        <v>450</v>
      </c>
      <c r="G412" s="38">
        <v>150</v>
      </c>
      <c r="H412" s="118">
        <f t="shared" si="18"/>
        <v>0.3333333333333333</v>
      </c>
      <c r="I412" s="118">
        <f t="shared" si="17"/>
        <v>1.210077483657232E-05</v>
      </c>
      <c r="J412" s="122"/>
      <c r="L412" s="98"/>
    </row>
    <row r="413" spans="1:12" s="89" customFormat="1" ht="12.75">
      <c r="A413" s="19" t="s">
        <v>50</v>
      </c>
      <c r="B413" s="18"/>
      <c r="C413" s="18"/>
      <c r="D413" s="18">
        <v>3110</v>
      </c>
      <c r="E413" s="203">
        <v>189500</v>
      </c>
      <c r="F413" s="43">
        <v>186500</v>
      </c>
      <c r="G413" s="43">
        <v>127878.28</v>
      </c>
      <c r="H413" s="118">
        <f t="shared" si="18"/>
        <v>0.6856744235924933</v>
      </c>
      <c r="I413" s="118">
        <f t="shared" si="17"/>
        <v>0.010316175151787663</v>
      </c>
      <c r="J413" s="42"/>
      <c r="L413" s="128"/>
    </row>
    <row r="414" spans="1:12" ht="12.75">
      <c r="A414" s="29" t="s">
        <v>12</v>
      </c>
      <c r="B414" s="18"/>
      <c r="C414" s="18"/>
      <c r="D414" s="28" t="s">
        <v>76</v>
      </c>
      <c r="E414" s="203">
        <v>5000</v>
      </c>
      <c r="F414" s="52">
        <v>5000</v>
      </c>
      <c r="G414" s="52">
        <v>4007.64</v>
      </c>
      <c r="H414" s="118">
        <f t="shared" si="18"/>
        <v>0.801528</v>
      </c>
      <c r="I414" s="118">
        <f t="shared" si="17"/>
        <v>0.0003233036617736046</v>
      </c>
      <c r="J414" s="42"/>
      <c r="L414" s="98"/>
    </row>
    <row r="415" spans="1:12" s="89" customFormat="1" ht="15" customHeight="1">
      <c r="A415" s="87" t="s">
        <v>52</v>
      </c>
      <c r="B415" s="120"/>
      <c r="C415" s="120" t="s">
        <v>147</v>
      </c>
      <c r="D415" s="120"/>
      <c r="E415" s="202">
        <f>SUM(E416)</f>
        <v>280000</v>
      </c>
      <c r="F415" s="121">
        <f>SUM(F416,F417)</f>
        <v>278192.36000000004</v>
      </c>
      <c r="G415" s="121">
        <f>SUM(G416:G417)</f>
        <v>126077.08</v>
      </c>
      <c r="H415" s="90">
        <f t="shared" si="18"/>
        <v>0.45320108719017294</v>
      </c>
      <c r="I415" s="90">
        <f t="shared" si="17"/>
        <v>0.010170869047550102</v>
      </c>
      <c r="J415" s="122"/>
      <c r="L415" s="128"/>
    </row>
    <row r="416" spans="1:12" ht="12.75">
      <c r="A416" s="19" t="s">
        <v>50</v>
      </c>
      <c r="B416" s="18"/>
      <c r="C416" s="18"/>
      <c r="D416" s="18">
        <v>3110</v>
      </c>
      <c r="E416" s="203">
        <v>280000</v>
      </c>
      <c r="F416" s="45">
        <v>278178.78</v>
      </c>
      <c r="G416" s="45">
        <v>126066.05</v>
      </c>
      <c r="H416" s="118">
        <f t="shared" si="18"/>
        <v>0.45318356058646886</v>
      </c>
      <c r="I416" s="118">
        <f t="shared" si="17"/>
        <v>0.010169979237240454</v>
      </c>
      <c r="J416" s="42"/>
      <c r="L416" s="98"/>
    </row>
    <row r="417" spans="1:12" ht="12.75">
      <c r="A417" s="19" t="s">
        <v>9</v>
      </c>
      <c r="B417" s="18"/>
      <c r="C417" s="18"/>
      <c r="D417" s="18" t="s">
        <v>80</v>
      </c>
      <c r="E417" s="203">
        <v>0</v>
      </c>
      <c r="F417" s="45">
        <v>13.58</v>
      </c>
      <c r="G417" s="45">
        <v>11.03</v>
      </c>
      <c r="H417" s="118">
        <f t="shared" si="18"/>
        <v>0.8122238586156112</v>
      </c>
      <c r="I417" s="118">
        <f t="shared" si="17"/>
        <v>8.898103096492846E-07</v>
      </c>
      <c r="J417" s="42"/>
      <c r="L417" s="98"/>
    </row>
    <row r="418" spans="1:12" ht="15" customHeight="1">
      <c r="A418" s="87" t="s">
        <v>247</v>
      </c>
      <c r="B418" s="120"/>
      <c r="C418" s="120" t="s">
        <v>248</v>
      </c>
      <c r="D418" s="120"/>
      <c r="E418" s="202">
        <f>SUM(E420)</f>
        <v>139000</v>
      </c>
      <c r="F418" s="123">
        <f>SUM(F419,F420)</f>
        <v>136047</v>
      </c>
      <c r="G418" s="123">
        <f>SUM(G420,G419)</f>
        <v>95795.85</v>
      </c>
      <c r="H418" s="90">
        <f t="shared" si="18"/>
        <v>0.7041379082228936</v>
      </c>
      <c r="I418" s="90">
        <f t="shared" si="17"/>
        <v>0.007728026740853711</v>
      </c>
      <c r="J418" s="122"/>
      <c r="L418" s="98"/>
    </row>
    <row r="419" spans="1:12" ht="39" customHeight="1">
      <c r="A419" s="244" t="s">
        <v>324</v>
      </c>
      <c r="B419" s="120"/>
      <c r="C419" s="120"/>
      <c r="D419" s="28" t="s">
        <v>244</v>
      </c>
      <c r="E419" s="200">
        <v>0</v>
      </c>
      <c r="F419" s="41">
        <v>2047</v>
      </c>
      <c r="G419" s="41">
        <v>2047</v>
      </c>
      <c r="H419" s="118">
        <f t="shared" si="18"/>
        <v>1</v>
      </c>
      <c r="I419" s="118">
        <f t="shared" si="17"/>
        <v>0.00016513524060309025</v>
      </c>
      <c r="J419" s="122"/>
      <c r="L419" s="98"/>
    </row>
    <row r="420" spans="1:12" s="89" customFormat="1" ht="12.75">
      <c r="A420" s="19" t="s">
        <v>50</v>
      </c>
      <c r="B420" s="18"/>
      <c r="C420" s="18"/>
      <c r="D420" s="18" t="s">
        <v>145</v>
      </c>
      <c r="E420" s="203">
        <v>139000</v>
      </c>
      <c r="F420" s="52">
        <v>134000</v>
      </c>
      <c r="G420" s="52">
        <v>93748.85</v>
      </c>
      <c r="H420" s="118">
        <f t="shared" si="18"/>
        <v>0.6996182835820896</v>
      </c>
      <c r="I420" s="227">
        <f t="shared" si="17"/>
        <v>0.00756289150025062</v>
      </c>
      <c r="J420" s="42"/>
      <c r="L420" s="128"/>
    </row>
    <row r="421" spans="1:12" ht="15" customHeight="1">
      <c r="A421" s="87" t="s">
        <v>53</v>
      </c>
      <c r="B421" s="120"/>
      <c r="C421" s="120" t="s">
        <v>127</v>
      </c>
      <c r="D421" s="120"/>
      <c r="E421" s="202">
        <f>SUM(E422:E443)</f>
        <v>494141</v>
      </c>
      <c r="F421" s="202">
        <f>SUM(F422:F443)</f>
        <v>493141</v>
      </c>
      <c r="G421" s="202">
        <f>SUM(G422:G443)</f>
        <v>236467.37000000002</v>
      </c>
      <c r="H421" s="90">
        <f t="shared" si="18"/>
        <v>0.4795126951520965</v>
      </c>
      <c r="I421" s="90">
        <f t="shared" si="17"/>
        <v>0.019076256003776243</v>
      </c>
      <c r="J421" s="122"/>
      <c r="L421" s="98"/>
    </row>
    <row r="422" spans="1:12" s="89" customFormat="1" ht="12.75">
      <c r="A422" s="31" t="s">
        <v>314</v>
      </c>
      <c r="B422" s="18"/>
      <c r="C422" s="18"/>
      <c r="D422" s="18" t="s">
        <v>95</v>
      </c>
      <c r="E422" s="203">
        <v>3660</v>
      </c>
      <c r="F422" s="52">
        <v>3660</v>
      </c>
      <c r="G422" s="52">
        <v>1091.96</v>
      </c>
      <c r="H422" s="118">
        <f t="shared" si="18"/>
        <v>0.2983497267759563</v>
      </c>
      <c r="I422" s="118">
        <f t="shared" si="17"/>
        <v>8.809041393695674E-05</v>
      </c>
      <c r="J422" s="42"/>
      <c r="L422" s="128"/>
    </row>
    <row r="423" spans="1:12" s="89" customFormat="1" ht="12.75">
      <c r="A423" s="29" t="s">
        <v>50</v>
      </c>
      <c r="B423" s="18"/>
      <c r="C423" s="18"/>
      <c r="D423" s="18" t="s">
        <v>145</v>
      </c>
      <c r="E423" s="203">
        <v>1000</v>
      </c>
      <c r="F423" s="52">
        <v>0</v>
      </c>
      <c r="G423" s="52">
        <v>0</v>
      </c>
      <c r="H423" s="118"/>
      <c r="I423" s="118">
        <f t="shared" si="17"/>
        <v>0</v>
      </c>
      <c r="J423" s="42"/>
      <c r="L423" s="128"/>
    </row>
    <row r="424" spans="1:12" ht="12.75">
      <c r="A424" s="19" t="s">
        <v>19</v>
      </c>
      <c r="B424" s="18"/>
      <c r="C424" s="18"/>
      <c r="D424" s="18">
        <v>4010</v>
      </c>
      <c r="E424" s="203">
        <v>315469</v>
      </c>
      <c r="F424" s="52">
        <v>312469</v>
      </c>
      <c r="G424" s="52">
        <v>139622.12</v>
      </c>
      <c r="H424" s="118">
        <f t="shared" si="18"/>
        <v>0.44683511004291626</v>
      </c>
      <c r="I424" s="118">
        <f t="shared" si="17"/>
        <v>0.011263572242165872</v>
      </c>
      <c r="J424" s="42"/>
      <c r="L424" s="98"/>
    </row>
    <row r="425" spans="1:12" ht="12.75">
      <c r="A425" s="19" t="s">
        <v>19</v>
      </c>
      <c r="B425" s="18"/>
      <c r="C425" s="18"/>
      <c r="D425" s="18" t="s">
        <v>459</v>
      </c>
      <c r="E425" s="203">
        <v>4429</v>
      </c>
      <c r="F425" s="52">
        <v>4429</v>
      </c>
      <c r="G425" s="52">
        <v>4327.66</v>
      </c>
      <c r="H425" s="118">
        <f t="shared" si="18"/>
        <v>0.9771189884849852</v>
      </c>
      <c r="I425" s="118">
        <f t="shared" si="17"/>
        <v>0.0003491202615282704</v>
      </c>
      <c r="J425" s="42"/>
      <c r="L425" s="98"/>
    </row>
    <row r="426" spans="1:13" s="89" customFormat="1" ht="12.75">
      <c r="A426" s="19" t="s">
        <v>20</v>
      </c>
      <c r="B426" s="18"/>
      <c r="C426" s="18"/>
      <c r="D426" s="18">
        <v>4040</v>
      </c>
      <c r="E426" s="203">
        <v>23303</v>
      </c>
      <c r="F426" s="52">
        <v>23704</v>
      </c>
      <c r="G426" s="52">
        <v>23703.13</v>
      </c>
      <c r="H426" s="118">
        <f t="shared" si="18"/>
        <v>0.9999632973337834</v>
      </c>
      <c r="I426" s="118">
        <f t="shared" si="17"/>
        <v>0.0019121749270133498</v>
      </c>
      <c r="J426" s="42"/>
      <c r="L426" s="128"/>
      <c r="M426" s="128"/>
    </row>
    <row r="427" spans="1:12" ht="12.75">
      <c r="A427" s="19" t="s">
        <v>21</v>
      </c>
      <c r="B427" s="18"/>
      <c r="C427" s="18"/>
      <c r="D427" s="18">
        <v>4110</v>
      </c>
      <c r="E427" s="203">
        <v>57367</v>
      </c>
      <c r="F427" s="45">
        <v>57367</v>
      </c>
      <c r="G427" s="45">
        <v>25310.44</v>
      </c>
      <c r="H427" s="118">
        <f t="shared" si="18"/>
        <v>0.44120208482228457</v>
      </c>
      <c r="I427" s="118">
        <f t="shared" si="17"/>
        <v>0.002041839569697157</v>
      </c>
      <c r="J427" s="42"/>
      <c r="L427" s="98"/>
    </row>
    <row r="428" spans="1:12" ht="12.75">
      <c r="A428" s="19" t="s">
        <v>21</v>
      </c>
      <c r="B428" s="18"/>
      <c r="C428" s="18"/>
      <c r="D428" s="18" t="s">
        <v>460</v>
      </c>
      <c r="E428" s="203">
        <v>763</v>
      </c>
      <c r="F428" s="45">
        <v>763</v>
      </c>
      <c r="G428" s="45">
        <v>635.55</v>
      </c>
      <c r="H428" s="118">
        <f t="shared" si="18"/>
        <v>0.832961992136304</v>
      </c>
      <c r="I428" s="118">
        <f t="shared" si="17"/>
        <v>5.127098298255692E-05</v>
      </c>
      <c r="J428" s="42"/>
      <c r="L428" s="98"/>
    </row>
    <row r="429" spans="1:12" ht="12.75">
      <c r="A429" s="19" t="s">
        <v>22</v>
      </c>
      <c r="B429" s="18"/>
      <c r="C429" s="18"/>
      <c r="D429" s="18">
        <v>4120</v>
      </c>
      <c r="E429" s="203">
        <v>7607</v>
      </c>
      <c r="F429" s="52">
        <v>7607</v>
      </c>
      <c r="G429" s="52">
        <v>3457.59</v>
      </c>
      <c r="H429" s="118">
        <f t="shared" si="18"/>
        <v>0.4545274089654266</v>
      </c>
      <c r="I429" s="118">
        <f t="shared" si="17"/>
        <v>0.00027893012044789394</v>
      </c>
      <c r="J429" s="42"/>
      <c r="L429" s="98"/>
    </row>
    <row r="430" spans="1:12" ht="12.75">
      <c r="A430" s="19" t="s">
        <v>22</v>
      </c>
      <c r="B430" s="18"/>
      <c r="C430" s="18"/>
      <c r="D430" s="18" t="s">
        <v>461</v>
      </c>
      <c r="E430" s="203">
        <v>109</v>
      </c>
      <c r="F430" s="52">
        <v>109</v>
      </c>
      <c r="G430" s="52">
        <v>90.4</v>
      </c>
      <c r="H430" s="118">
        <f t="shared" si="18"/>
        <v>0.8293577981651377</v>
      </c>
      <c r="I430" s="118">
        <f t="shared" si="17"/>
        <v>7.2927336348409185E-06</v>
      </c>
      <c r="J430" s="42"/>
      <c r="L430" s="98"/>
    </row>
    <row r="431" spans="1:12" ht="12.75">
      <c r="A431" s="29" t="s">
        <v>159</v>
      </c>
      <c r="B431" s="18"/>
      <c r="C431" s="18"/>
      <c r="D431" s="28" t="s">
        <v>160</v>
      </c>
      <c r="E431" s="203">
        <v>7000</v>
      </c>
      <c r="F431" s="52">
        <v>10000</v>
      </c>
      <c r="G431" s="52">
        <v>5779.2</v>
      </c>
      <c r="H431" s="118">
        <f t="shared" si="18"/>
        <v>0.57792</v>
      </c>
      <c r="I431" s="118">
        <f aca="true" t="shared" si="19" ref="I431:I493">G431/12395900.43</f>
        <v>0.00046621865290345836</v>
      </c>
      <c r="J431" s="42"/>
      <c r="L431" s="98"/>
    </row>
    <row r="432" spans="1:12" ht="12.75">
      <c r="A432" s="29" t="s">
        <v>9</v>
      </c>
      <c r="B432" s="18"/>
      <c r="C432" s="18"/>
      <c r="D432" s="18">
        <v>4210</v>
      </c>
      <c r="E432" s="203">
        <v>24000</v>
      </c>
      <c r="F432" s="52">
        <v>21851</v>
      </c>
      <c r="G432" s="52">
        <v>8350.22</v>
      </c>
      <c r="H432" s="118">
        <f t="shared" si="18"/>
        <v>0.382143608988147</v>
      </c>
      <c r="I432" s="118">
        <f t="shared" si="19"/>
        <v>0.0006736275470389528</v>
      </c>
      <c r="J432" s="42"/>
      <c r="L432" s="98"/>
    </row>
    <row r="433" spans="1:12" ht="12.75">
      <c r="A433" s="29" t="s">
        <v>10</v>
      </c>
      <c r="B433" s="18"/>
      <c r="C433" s="18"/>
      <c r="D433" s="18" t="s">
        <v>149</v>
      </c>
      <c r="E433" s="203">
        <v>9812</v>
      </c>
      <c r="F433" s="52">
        <v>9812</v>
      </c>
      <c r="G433" s="52">
        <v>3612.2</v>
      </c>
      <c r="H433" s="118">
        <f t="shared" si="18"/>
        <v>0.3681410517733387</v>
      </c>
      <c r="I433" s="118">
        <f t="shared" si="19"/>
        <v>0.0002914027924311102</v>
      </c>
      <c r="J433" s="42"/>
      <c r="L433" s="98"/>
    </row>
    <row r="434" spans="1:12" ht="12.75">
      <c r="A434" s="29" t="s">
        <v>11</v>
      </c>
      <c r="B434" s="18"/>
      <c r="C434" s="18"/>
      <c r="D434" s="28" t="s">
        <v>132</v>
      </c>
      <c r="E434" s="203">
        <v>3457</v>
      </c>
      <c r="F434" s="52">
        <v>3457</v>
      </c>
      <c r="G434" s="52">
        <v>1328.4</v>
      </c>
      <c r="H434" s="118">
        <f t="shared" si="18"/>
        <v>0.3842638125542378</v>
      </c>
      <c r="I434" s="118">
        <f t="shared" si="19"/>
        <v>0.00010716446195268447</v>
      </c>
      <c r="J434" s="42"/>
      <c r="L434" s="98"/>
    </row>
    <row r="435" spans="1:12" ht="12.75">
      <c r="A435" s="29" t="s">
        <v>45</v>
      </c>
      <c r="B435" s="18"/>
      <c r="C435" s="18"/>
      <c r="D435" s="28" t="s">
        <v>134</v>
      </c>
      <c r="E435" s="203">
        <v>680</v>
      </c>
      <c r="F435" s="52">
        <v>680</v>
      </c>
      <c r="G435" s="52">
        <v>70</v>
      </c>
      <c r="H435" s="118">
        <f t="shared" si="18"/>
        <v>0.10294117647058823</v>
      </c>
      <c r="I435" s="118">
        <f t="shared" si="19"/>
        <v>5.647028257067083E-06</v>
      </c>
      <c r="J435" s="42"/>
      <c r="L435" s="98"/>
    </row>
    <row r="436" spans="1:12" ht="12.75">
      <c r="A436" s="19" t="s">
        <v>12</v>
      </c>
      <c r="B436" s="18"/>
      <c r="C436" s="18"/>
      <c r="D436" s="18">
        <v>4300</v>
      </c>
      <c r="E436" s="203">
        <v>14000</v>
      </c>
      <c r="F436" s="52">
        <v>14000</v>
      </c>
      <c r="G436" s="52">
        <v>6651.38</v>
      </c>
      <c r="H436" s="118">
        <f t="shared" si="18"/>
        <v>0.4750985714285714</v>
      </c>
      <c r="I436" s="118">
        <f t="shared" si="19"/>
        <v>0.0005365790115498694</v>
      </c>
      <c r="J436" s="42"/>
      <c r="L436" s="98"/>
    </row>
    <row r="437" spans="1:12" ht="12.75">
      <c r="A437" s="29" t="s">
        <v>394</v>
      </c>
      <c r="B437" s="18"/>
      <c r="C437" s="18"/>
      <c r="D437" s="28" t="s">
        <v>194</v>
      </c>
      <c r="E437" s="203">
        <v>3102</v>
      </c>
      <c r="F437" s="52">
        <v>2849</v>
      </c>
      <c r="G437" s="52">
        <v>1405.78</v>
      </c>
      <c r="H437" s="118">
        <f t="shared" si="18"/>
        <v>0.4934292734292734</v>
      </c>
      <c r="I437" s="118">
        <f t="shared" si="19"/>
        <v>0.0001134068483317109</v>
      </c>
      <c r="J437" s="42"/>
      <c r="L437" s="98"/>
    </row>
    <row r="438" spans="1:12" ht="12.75">
      <c r="A438" s="19" t="s">
        <v>25</v>
      </c>
      <c r="B438" s="18"/>
      <c r="C438" s="18"/>
      <c r="D438" s="18">
        <v>4410</v>
      </c>
      <c r="E438" s="203">
        <v>2305</v>
      </c>
      <c r="F438" s="52">
        <v>2305</v>
      </c>
      <c r="G438" s="52">
        <v>889.14</v>
      </c>
      <c r="H438" s="118">
        <f t="shared" si="18"/>
        <v>0.38574403470715835</v>
      </c>
      <c r="I438" s="118">
        <f t="shared" si="19"/>
        <v>7.172855292126608E-05</v>
      </c>
      <c r="J438" s="42"/>
      <c r="L438" s="98"/>
    </row>
    <row r="439" spans="1:12" ht="12.75">
      <c r="A439" s="29" t="s">
        <v>26</v>
      </c>
      <c r="B439" s="18"/>
      <c r="C439" s="18"/>
      <c r="D439" s="28" t="s">
        <v>89</v>
      </c>
      <c r="E439" s="203">
        <v>800</v>
      </c>
      <c r="F439" s="52">
        <v>2845</v>
      </c>
      <c r="G439" s="52">
        <v>1329.2</v>
      </c>
      <c r="H439" s="118">
        <f t="shared" si="18"/>
        <v>0.4672056239015817</v>
      </c>
      <c r="I439" s="118">
        <f t="shared" si="19"/>
        <v>0.00010722899941847952</v>
      </c>
      <c r="J439" s="42"/>
      <c r="L439" s="98"/>
    </row>
    <row r="440" spans="1:12" ht="12.75">
      <c r="A440" s="19" t="s">
        <v>316</v>
      </c>
      <c r="B440" s="18"/>
      <c r="C440" s="18"/>
      <c r="D440" s="18">
        <v>4440</v>
      </c>
      <c r="E440" s="203">
        <v>10770</v>
      </c>
      <c r="F440" s="52">
        <v>10473</v>
      </c>
      <c r="G440" s="52">
        <v>7642</v>
      </c>
      <c r="H440" s="118">
        <f t="shared" si="18"/>
        <v>0.7296858588752029</v>
      </c>
      <c r="I440" s="118">
        <f t="shared" si="19"/>
        <v>0.0006164941420072378</v>
      </c>
      <c r="J440" s="42"/>
      <c r="L440" s="98"/>
    </row>
    <row r="441" spans="1:12" ht="12.75">
      <c r="A441" s="19" t="s">
        <v>31</v>
      </c>
      <c r="B441" s="18"/>
      <c r="C441" s="18"/>
      <c r="D441" s="18" t="s">
        <v>161</v>
      </c>
      <c r="E441" s="203">
        <v>2108</v>
      </c>
      <c r="F441" s="52">
        <v>2361</v>
      </c>
      <c r="G441" s="52">
        <v>1171</v>
      </c>
      <c r="H441" s="118">
        <f t="shared" si="18"/>
        <v>0.49597628123676407</v>
      </c>
      <c r="I441" s="118">
        <f t="shared" si="19"/>
        <v>9.446671555750791E-05</v>
      </c>
      <c r="J441" s="42"/>
      <c r="L441" s="98"/>
    </row>
    <row r="442" spans="1:12" ht="25.5">
      <c r="A442" s="29" t="s">
        <v>196</v>
      </c>
      <c r="B442" s="18"/>
      <c r="C442" s="18"/>
      <c r="D442" s="28" t="s">
        <v>193</v>
      </c>
      <c r="E442" s="203">
        <v>2400</v>
      </c>
      <c r="F442" s="52">
        <v>2400</v>
      </c>
      <c r="G442" s="52">
        <v>0</v>
      </c>
      <c r="H442" s="118">
        <f t="shared" si="18"/>
        <v>0</v>
      </c>
      <c r="I442" s="118">
        <f t="shared" si="19"/>
        <v>0</v>
      </c>
      <c r="J442" s="42"/>
      <c r="L442" s="98"/>
    </row>
    <row r="443" spans="1:12" ht="12.75" hidden="1">
      <c r="A443" s="29" t="s">
        <v>87</v>
      </c>
      <c r="B443" s="18"/>
      <c r="C443" s="18"/>
      <c r="D443" s="28" t="s">
        <v>86</v>
      </c>
      <c r="E443" s="203">
        <v>0</v>
      </c>
      <c r="F443" s="52">
        <v>0</v>
      </c>
      <c r="G443" s="52">
        <v>0</v>
      </c>
      <c r="H443" s="118" t="e">
        <f t="shared" si="18"/>
        <v>#DIV/0!</v>
      </c>
      <c r="I443" s="118">
        <f t="shared" si="19"/>
        <v>0</v>
      </c>
      <c r="J443" s="42"/>
      <c r="L443" s="98"/>
    </row>
    <row r="444" spans="1:12" ht="25.5" customHeight="1">
      <c r="A444" s="87" t="s">
        <v>192</v>
      </c>
      <c r="B444" s="120"/>
      <c r="C444" s="120" t="s">
        <v>188</v>
      </c>
      <c r="D444" s="120"/>
      <c r="E444" s="202">
        <f>SUM(E446:E450)</f>
        <v>12786</v>
      </c>
      <c r="F444" s="121">
        <f>SUM(F445,F446:F450)</f>
        <v>15286</v>
      </c>
      <c r="G444" s="121">
        <f>SUM(G445,G446,G447,G448,G449,G450)</f>
        <v>8652.859999999999</v>
      </c>
      <c r="H444" s="90">
        <f t="shared" si="18"/>
        <v>0.5660643726285489</v>
      </c>
      <c r="I444" s="90">
        <f t="shared" si="19"/>
        <v>0.000698042070349221</v>
      </c>
      <c r="J444" s="122"/>
      <c r="L444" s="98"/>
    </row>
    <row r="445" spans="1:12" ht="12.75" customHeight="1">
      <c r="A445" s="29" t="s">
        <v>195</v>
      </c>
      <c r="B445" s="120"/>
      <c r="C445" s="120"/>
      <c r="D445" s="28" t="s">
        <v>160</v>
      </c>
      <c r="E445" s="200">
        <v>0</v>
      </c>
      <c r="F445" s="38">
        <v>370</v>
      </c>
      <c r="G445" s="38">
        <v>350</v>
      </c>
      <c r="H445" s="118">
        <f t="shared" si="18"/>
        <v>0.9459459459459459</v>
      </c>
      <c r="I445" s="118">
        <f t="shared" si="19"/>
        <v>2.8235141285335414E-05</v>
      </c>
      <c r="J445" s="122"/>
      <c r="L445" s="98"/>
    </row>
    <row r="446" spans="1:12" ht="12.75">
      <c r="A446" s="31" t="s">
        <v>9</v>
      </c>
      <c r="B446" s="18"/>
      <c r="C446" s="28"/>
      <c r="D446" s="28" t="s">
        <v>80</v>
      </c>
      <c r="E446" s="203">
        <v>960</v>
      </c>
      <c r="F446" s="52">
        <v>3090</v>
      </c>
      <c r="G446" s="52">
        <v>2135.79</v>
      </c>
      <c r="H446" s="118">
        <f t="shared" si="18"/>
        <v>0.6911941747572815</v>
      </c>
      <c r="I446" s="118">
        <f t="shared" si="19"/>
        <v>0.00017229809258801864</v>
      </c>
      <c r="J446" s="42"/>
      <c r="L446" s="98"/>
    </row>
    <row r="447" spans="1:12" ht="12.75">
      <c r="A447" s="31" t="s">
        <v>10</v>
      </c>
      <c r="B447" s="18"/>
      <c r="C447" s="28"/>
      <c r="D447" s="28" t="s">
        <v>149</v>
      </c>
      <c r="E447" s="203">
        <v>6580</v>
      </c>
      <c r="F447" s="52">
        <v>6580</v>
      </c>
      <c r="G447" s="52">
        <v>3413.03</v>
      </c>
      <c r="H447" s="118">
        <f t="shared" si="18"/>
        <v>0.5186975683890578</v>
      </c>
      <c r="I447" s="118">
        <f t="shared" si="19"/>
        <v>0.00027533538360310954</v>
      </c>
      <c r="J447" s="42"/>
      <c r="L447" s="98"/>
    </row>
    <row r="448" spans="1:12" s="89" customFormat="1" ht="12.75">
      <c r="A448" s="31" t="s">
        <v>12</v>
      </c>
      <c r="B448" s="18"/>
      <c r="C448" s="28"/>
      <c r="D448" s="28" t="s">
        <v>76</v>
      </c>
      <c r="E448" s="203">
        <v>379</v>
      </c>
      <c r="F448" s="45">
        <v>379</v>
      </c>
      <c r="G448" s="45">
        <v>320.86</v>
      </c>
      <c r="H448" s="118">
        <f t="shared" si="18"/>
        <v>0.8465963060686016</v>
      </c>
      <c r="I448" s="118">
        <f t="shared" si="19"/>
        <v>2.5884364093750634E-05</v>
      </c>
      <c r="J448" s="42"/>
      <c r="L448" s="128"/>
    </row>
    <row r="449" spans="1:12" ht="25.5">
      <c r="A449" s="29" t="s">
        <v>224</v>
      </c>
      <c r="B449" s="18"/>
      <c r="C449" s="28"/>
      <c r="D449" s="28" t="s">
        <v>221</v>
      </c>
      <c r="E449" s="203">
        <v>4525</v>
      </c>
      <c r="F449" s="45">
        <v>4525</v>
      </c>
      <c r="G449" s="45">
        <v>2262.18</v>
      </c>
      <c r="H449" s="118">
        <f t="shared" si="18"/>
        <v>0.49992928176795576</v>
      </c>
      <c r="I449" s="118">
        <f t="shared" si="19"/>
        <v>0.00018249420546531447</v>
      </c>
      <c r="J449" s="42"/>
      <c r="L449" s="98"/>
    </row>
    <row r="450" spans="1:12" ht="12.75">
      <c r="A450" s="29" t="s">
        <v>309</v>
      </c>
      <c r="B450" s="18"/>
      <c r="C450" s="28"/>
      <c r="D450" s="28" t="s">
        <v>312</v>
      </c>
      <c r="E450" s="203">
        <v>342</v>
      </c>
      <c r="F450" s="45">
        <v>342</v>
      </c>
      <c r="G450" s="45">
        <v>171</v>
      </c>
      <c r="H450" s="118">
        <f t="shared" si="18"/>
        <v>0.5</v>
      </c>
      <c r="I450" s="118">
        <f t="shared" si="19"/>
        <v>1.3794883313692446E-05</v>
      </c>
      <c r="J450" s="42"/>
      <c r="L450" s="98"/>
    </row>
    <row r="451" spans="1:12" ht="15" customHeight="1">
      <c r="A451" s="87" t="s">
        <v>128</v>
      </c>
      <c r="B451" s="120"/>
      <c r="C451" s="120" t="s">
        <v>129</v>
      </c>
      <c r="D451" s="120"/>
      <c r="E451" s="202">
        <f>SUM(E452:E462)</f>
        <v>129198</v>
      </c>
      <c r="F451" s="123">
        <f>SUM(F452:F462)</f>
        <v>148310</v>
      </c>
      <c r="G451" s="123">
        <f>SUM(G452:G462)</f>
        <v>77699.78</v>
      </c>
      <c r="H451" s="90">
        <f t="shared" si="18"/>
        <v>0.523901152990358</v>
      </c>
      <c r="I451" s="90">
        <f t="shared" si="19"/>
        <v>0.006268183617541368</v>
      </c>
      <c r="J451" s="122"/>
      <c r="L451" s="98"/>
    </row>
    <row r="452" spans="1:12" ht="12.75">
      <c r="A452" s="29" t="s">
        <v>314</v>
      </c>
      <c r="B452" s="18"/>
      <c r="C452" s="28"/>
      <c r="D452" s="28" t="s">
        <v>95</v>
      </c>
      <c r="E452" s="203">
        <v>2706</v>
      </c>
      <c r="F452" s="52">
        <v>2706</v>
      </c>
      <c r="G452" s="52">
        <v>1280.18</v>
      </c>
      <c r="H452" s="118">
        <f t="shared" si="18"/>
        <v>0.473089430894309</v>
      </c>
      <c r="I452" s="118">
        <f t="shared" si="19"/>
        <v>0.0001032744662018877</v>
      </c>
      <c r="J452" s="42"/>
      <c r="L452" s="98"/>
    </row>
    <row r="453" spans="1:12" ht="12.75">
      <c r="A453" s="19" t="s">
        <v>19</v>
      </c>
      <c r="B453" s="18"/>
      <c r="C453" s="18"/>
      <c r="D453" s="18">
        <v>4010</v>
      </c>
      <c r="E453" s="210">
        <v>88387</v>
      </c>
      <c r="F453" s="52">
        <v>93293</v>
      </c>
      <c r="G453" s="52">
        <v>41342.74</v>
      </c>
      <c r="H453" s="118">
        <f t="shared" si="18"/>
        <v>0.4431494324333015</v>
      </c>
      <c r="I453" s="118">
        <f t="shared" si="19"/>
        <v>0.003335194585779679</v>
      </c>
      <c r="J453" s="42"/>
      <c r="L453" s="98"/>
    </row>
    <row r="454" spans="1:12" s="89" customFormat="1" ht="12.75">
      <c r="A454" s="19" t="s">
        <v>20</v>
      </c>
      <c r="B454" s="18"/>
      <c r="C454" s="18"/>
      <c r="D454" s="18" t="s">
        <v>164</v>
      </c>
      <c r="E454" s="203">
        <v>6747</v>
      </c>
      <c r="F454" s="52">
        <v>6155</v>
      </c>
      <c r="G454" s="52">
        <v>6154.76</v>
      </c>
      <c r="H454" s="118">
        <f t="shared" si="18"/>
        <v>0.9999610073111292</v>
      </c>
      <c r="I454" s="118">
        <f t="shared" si="19"/>
        <v>0.0004965157662209457</v>
      </c>
      <c r="J454" s="42"/>
      <c r="L454" s="128"/>
    </row>
    <row r="455" spans="1:12" ht="12.75">
      <c r="A455" s="19" t="s">
        <v>21</v>
      </c>
      <c r="B455" s="18"/>
      <c r="C455" s="18"/>
      <c r="D455" s="18">
        <v>4110</v>
      </c>
      <c r="E455" s="203">
        <v>16882</v>
      </c>
      <c r="F455" s="45">
        <v>17886</v>
      </c>
      <c r="G455" s="45">
        <v>7810.32</v>
      </c>
      <c r="H455" s="118">
        <f t="shared" si="18"/>
        <v>0.4366722576316672</v>
      </c>
      <c r="I455" s="118">
        <f t="shared" si="19"/>
        <v>0.0006300728248105168</v>
      </c>
      <c r="J455" s="42"/>
      <c r="L455" s="98"/>
    </row>
    <row r="456" spans="1:12" ht="12.75">
      <c r="A456" s="19" t="s">
        <v>22</v>
      </c>
      <c r="B456" s="18"/>
      <c r="C456" s="18"/>
      <c r="D456" s="18">
        <v>4120</v>
      </c>
      <c r="E456" s="203">
        <v>2331</v>
      </c>
      <c r="F456" s="45">
        <v>2437</v>
      </c>
      <c r="G456" s="45">
        <v>1022.14</v>
      </c>
      <c r="H456" s="118">
        <f t="shared" si="18"/>
        <v>0.4194255231842429</v>
      </c>
      <c r="I456" s="118">
        <f t="shared" si="19"/>
        <v>8.245790660969354E-05</v>
      </c>
      <c r="J456" s="42"/>
      <c r="L456" s="98"/>
    </row>
    <row r="457" spans="1:12" ht="12.75">
      <c r="A457" s="29" t="s">
        <v>159</v>
      </c>
      <c r="B457" s="18"/>
      <c r="C457" s="18"/>
      <c r="D457" s="28" t="s">
        <v>160</v>
      </c>
      <c r="E457" s="203">
        <v>6500</v>
      </c>
      <c r="F457" s="52">
        <v>19481</v>
      </c>
      <c r="G457" s="52">
        <v>16947.05</v>
      </c>
      <c r="H457" s="118">
        <f t="shared" si="18"/>
        <v>0.8699271084646578</v>
      </c>
      <c r="I457" s="118">
        <f t="shared" si="19"/>
        <v>0.0013671495746275528</v>
      </c>
      <c r="J457" s="42"/>
      <c r="L457" s="98"/>
    </row>
    <row r="458" spans="1:12" ht="12.75">
      <c r="A458" s="19" t="s">
        <v>9</v>
      </c>
      <c r="B458" s="18"/>
      <c r="C458" s="18"/>
      <c r="D458" s="18">
        <v>4210</v>
      </c>
      <c r="E458" s="203">
        <v>250</v>
      </c>
      <c r="F458" s="52">
        <v>957</v>
      </c>
      <c r="G458" s="52">
        <v>50.59</v>
      </c>
      <c r="H458" s="118">
        <f t="shared" si="18"/>
        <v>0.05286311389759666</v>
      </c>
      <c r="I458" s="118">
        <f t="shared" si="19"/>
        <v>4.0811879932146245E-06</v>
      </c>
      <c r="J458" s="42"/>
      <c r="L458" s="98"/>
    </row>
    <row r="459" spans="1:12" ht="12.75">
      <c r="A459" s="29" t="s">
        <v>45</v>
      </c>
      <c r="B459" s="18"/>
      <c r="C459" s="18"/>
      <c r="D459" s="28" t="s">
        <v>134</v>
      </c>
      <c r="E459" s="203">
        <v>480</v>
      </c>
      <c r="F459" s="52">
        <v>480</v>
      </c>
      <c r="G459" s="52">
        <v>85</v>
      </c>
      <c r="H459" s="118">
        <f t="shared" si="18"/>
        <v>0.17708333333333334</v>
      </c>
      <c r="I459" s="118">
        <f t="shared" si="19"/>
        <v>6.857105740724315E-06</v>
      </c>
      <c r="J459" s="42"/>
      <c r="L459" s="98"/>
    </row>
    <row r="460" spans="1:12" ht="12.75">
      <c r="A460" s="29" t="s">
        <v>394</v>
      </c>
      <c r="B460" s="18"/>
      <c r="C460" s="18"/>
      <c r="D460" s="28" t="s">
        <v>194</v>
      </c>
      <c r="E460" s="203">
        <v>360</v>
      </c>
      <c r="F460" s="52">
        <v>360</v>
      </c>
      <c r="G460" s="52">
        <v>180</v>
      </c>
      <c r="H460" s="118">
        <f>G460/F460</f>
        <v>0.5</v>
      </c>
      <c r="I460" s="118">
        <f t="shared" si="19"/>
        <v>1.4520929803886784E-05</v>
      </c>
      <c r="J460" s="42"/>
      <c r="L460" s="98"/>
    </row>
    <row r="461" spans="1:12" ht="12.75">
      <c r="A461" s="19" t="s">
        <v>316</v>
      </c>
      <c r="B461" s="18"/>
      <c r="C461" s="18"/>
      <c r="D461" s="18">
        <v>4440</v>
      </c>
      <c r="E461" s="203">
        <v>3755</v>
      </c>
      <c r="F461" s="52">
        <v>3755</v>
      </c>
      <c r="G461" s="52">
        <v>2827</v>
      </c>
      <c r="H461" s="118">
        <f>G461/F461</f>
        <v>0.7528628495339548</v>
      </c>
      <c r="I461" s="118">
        <f t="shared" si="19"/>
        <v>0.00022805926975326632</v>
      </c>
      <c r="J461" s="42"/>
      <c r="L461" s="98"/>
    </row>
    <row r="462" spans="1:12" ht="25.5">
      <c r="A462" s="19" t="s">
        <v>207</v>
      </c>
      <c r="B462" s="18"/>
      <c r="C462" s="18"/>
      <c r="D462" s="18" t="s">
        <v>193</v>
      </c>
      <c r="E462" s="203">
        <v>800</v>
      </c>
      <c r="F462" s="52">
        <v>800</v>
      </c>
      <c r="G462" s="52">
        <v>0</v>
      </c>
      <c r="H462" s="118">
        <f>G462/F462</f>
        <v>0</v>
      </c>
      <c r="I462" s="118">
        <f t="shared" si="19"/>
        <v>0</v>
      </c>
      <c r="J462" s="42"/>
      <c r="L462" s="98"/>
    </row>
    <row r="463" spans="1:12" s="89" customFormat="1" ht="12.75">
      <c r="A463" s="87" t="s">
        <v>462</v>
      </c>
      <c r="B463" s="120"/>
      <c r="C463" s="120" t="s">
        <v>429</v>
      </c>
      <c r="D463" s="120"/>
      <c r="E463" s="202">
        <f>E464</f>
        <v>82000</v>
      </c>
      <c r="F463" s="202">
        <f>F464</f>
        <v>82000</v>
      </c>
      <c r="G463" s="202">
        <f>G464</f>
        <v>43066.1</v>
      </c>
      <c r="H463" s="90">
        <f>G463/F463</f>
        <v>0.5251963414634147</v>
      </c>
      <c r="I463" s="90">
        <f t="shared" si="19"/>
        <v>0.003474221194595381</v>
      </c>
      <c r="J463" s="122"/>
      <c r="L463" s="128"/>
    </row>
    <row r="464" spans="1:12" ht="12.75">
      <c r="A464" s="19" t="s">
        <v>50</v>
      </c>
      <c r="B464" s="18"/>
      <c r="C464" s="18"/>
      <c r="D464" s="18" t="s">
        <v>145</v>
      </c>
      <c r="E464" s="203">
        <v>82000</v>
      </c>
      <c r="F464" s="52">
        <v>82000</v>
      </c>
      <c r="G464" s="52">
        <v>43066.1</v>
      </c>
      <c r="H464" s="118">
        <f>G464/F464</f>
        <v>0.5251963414634147</v>
      </c>
      <c r="I464" s="118">
        <f t="shared" si="19"/>
        <v>0.003474221194595381</v>
      </c>
      <c r="J464" s="42"/>
      <c r="L464" s="98"/>
    </row>
    <row r="465" spans="1:12" ht="15" customHeight="1">
      <c r="A465" s="87" t="s">
        <v>15</v>
      </c>
      <c r="B465" s="120"/>
      <c r="C465" s="120" t="s">
        <v>148</v>
      </c>
      <c r="D465" s="120"/>
      <c r="E465" s="202">
        <f>SUM(E466:E468)</f>
        <v>45581</v>
      </c>
      <c r="F465" s="121">
        <f>SUM(F466:F468)</f>
        <v>45581</v>
      </c>
      <c r="G465" s="121">
        <f>SUM(G466:G468)</f>
        <v>22901.37</v>
      </c>
      <c r="H465" s="90">
        <f aca="true" t="shared" si="20" ref="H465:H491">G465/F465</f>
        <v>0.5024323731379302</v>
      </c>
      <c r="I465" s="90">
        <f t="shared" si="19"/>
        <v>0.0018474954787935482</v>
      </c>
      <c r="J465" s="122"/>
      <c r="L465" s="98"/>
    </row>
    <row r="466" spans="1:12" ht="12.75">
      <c r="A466" s="19" t="s">
        <v>50</v>
      </c>
      <c r="B466" s="18"/>
      <c r="C466" s="18"/>
      <c r="D466" s="18">
        <v>3110</v>
      </c>
      <c r="E466" s="203">
        <v>20000</v>
      </c>
      <c r="F466" s="52">
        <v>20000</v>
      </c>
      <c r="G466" s="52">
        <v>3201.12</v>
      </c>
      <c r="H466" s="118">
        <f t="shared" si="20"/>
        <v>0.160056</v>
      </c>
      <c r="I466" s="118">
        <f t="shared" si="19"/>
        <v>0.00025824021563232257</v>
      </c>
      <c r="J466" s="42"/>
      <c r="L466" s="98"/>
    </row>
    <row r="467" spans="1:12" ht="12.75" hidden="1">
      <c r="A467" s="19" t="s">
        <v>9</v>
      </c>
      <c r="B467" s="18"/>
      <c r="C467" s="18"/>
      <c r="D467" s="18" t="s">
        <v>80</v>
      </c>
      <c r="E467" s="203">
        <v>0</v>
      </c>
      <c r="F467" s="52">
        <v>0</v>
      </c>
      <c r="G467" s="52">
        <v>0</v>
      </c>
      <c r="H467" s="118" t="e">
        <f t="shared" si="20"/>
        <v>#DIV/0!</v>
      </c>
      <c r="I467" s="118">
        <f t="shared" si="19"/>
        <v>0</v>
      </c>
      <c r="J467" s="42"/>
      <c r="L467" s="98"/>
    </row>
    <row r="468" spans="1:12" s="89" customFormat="1" ht="12.75">
      <c r="A468" s="19" t="s">
        <v>12</v>
      </c>
      <c r="B468" s="18"/>
      <c r="C468" s="18"/>
      <c r="D468" s="18" t="s">
        <v>76</v>
      </c>
      <c r="E468" s="203">
        <v>25581</v>
      </c>
      <c r="F468" s="52">
        <v>25581</v>
      </c>
      <c r="G468" s="52">
        <v>19700.25</v>
      </c>
      <c r="H468" s="118">
        <f t="shared" si="20"/>
        <v>0.7701125835581095</v>
      </c>
      <c r="I468" s="118">
        <f t="shared" si="19"/>
        <v>0.0015892552631612256</v>
      </c>
      <c r="J468" s="42"/>
      <c r="L468" s="128"/>
    </row>
    <row r="469" spans="1:12" ht="18" customHeight="1">
      <c r="A469" s="66" t="s">
        <v>233</v>
      </c>
      <c r="B469" s="47" t="s">
        <v>234</v>
      </c>
      <c r="C469" s="47"/>
      <c r="D469" s="47"/>
      <c r="E469" s="204">
        <f>E470</f>
        <v>79643</v>
      </c>
      <c r="F469" s="204">
        <f>F470</f>
        <v>84618.45000000001</v>
      </c>
      <c r="G469" s="204">
        <f>G470</f>
        <v>44432.240000000005</v>
      </c>
      <c r="H469" s="30">
        <f t="shared" si="20"/>
        <v>0.52508926835696</v>
      </c>
      <c r="I469" s="30">
        <f t="shared" si="19"/>
        <v>0.003584430211496948</v>
      </c>
      <c r="J469" s="84">
        <v>0</v>
      </c>
      <c r="L469" s="98"/>
    </row>
    <row r="470" spans="1:12" s="89" customFormat="1" ht="15" customHeight="1">
      <c r="A470" s="184" t="s">
        <v>15</v>
      </c>
      <c r="B470" s="120"/>
      <c r="C470" s="120" t="s">
        <v>235</v>
      </c>
      <c r="D470" s="120"/>
      <c r="E470" s="202">
        <f>SUM(E471:E491)</f>
        <v>79643</v>
      </c>
      <c r="F470" s="202">
        <f>SUM(F471:F491)</f>
        <v>84618.45000000001</v>
      </c>
      <c r="G470" s="202">
        <f>SUM(G471:G491)</f>
        <v>44432.240000000005</v>
      </c>
      <c r="H470" s="90">
        <f t="shared" si="20"/>
        <v>0.52508926835696</v>
      </c>
      <c r="I470" s="90">
        <f t="shared" si="19"/>
        <v>0.003584430211496948</v>
      </c>
      <c r="J470" s="192"/>
      <c r="L470" s="128"/>
    </row>
    <row r="471" spans="1:12" ht="15" customHeight="1">
      <c r="A471" s="29" t="s">
        <v>314</v>
      </c>
      <c r="B471" s="28"/>
      <c r="C471" s="28"/>
      <c r="D471" s="28" t="s">
        <v>95</v>
      </c>
      <c r="E471" s="200">
        <v>632</v>
      </c>
      <c r="F471" s="41">
        <v>632</v>
      </c>
      <c r="G471" s="41">
        <v>0</v>
      </c>
      <c r="H471" s="118">
        <f t="shared" si="20"/>
        <v>0</v>
      </c>
      <c r="I471" s="118">
        <f t="shared" si="19"/>
        <v>0</v>
      </c>
      <c r="J471" s="149"/>
      <c r="L471" s="98"/>
    </row>
    <row r="472" spans="1:12" ht="15" customHeight="1">
      <c r="A472" s="29" t="s">
        <v>314</v>
      </c>
      <c r="B472" s="28"/>
      <c r="C472" s="28"/>
      <c r="D472" s="28" t="s">
        <v>492</v>
      </c>
      <c r="E472" s="200">
        <v>68</v>
      </c>
      <c r="F472" s="41">
        <v>68</v>
      </c>
      <c r="G472" s="41">
        <v>57.39</v>
      </c>
      <c r="H472" s="118">
        <f t="shared" si="20"/>
        <v>0.8439705882352941</v>
      </c>
      <c r="I472" s="118">
        <f t="shared" si="19"/>
        <v>4.62975645247257E-06</v>
      </c>
      <c r="J472" s="149"/>
      <c r="L472" s="98"/>
    </row>
    <row r="473" spans="1:12" ht="15" customHeight="1">
      <c r="A473" s="29" t="s">
        <v>314</v>
      </c>
      <c r="B473" s="28"/>
      <c r="C473" s="28"/>
      <c r="D473" s="28" t="s">
        <v>493</v>
      </c>
      <c r="E473" s="200">
        <v>4</v>
      </c>
      <c r="F473" s="41">
        <v>4</v>
      </c>
      <c r="G473" s="41">
        <v>3.37</v>
      </c>
      <c r="H473" s="118">
        <f t="shared" si="20"/>
        <v>0.8425</v>
      </c>
      <c r="I473" s="118">
        <f t="shared" si="19"/>
        <v>2.7186407466165815E-07</v>
      </c>
      <c r="J473" s="149"/>
      <c r="L473" s="98"/>
    </row>
    <row r="474" spans="1:12" ht="15" customHeight="1">
      <c r="A474" s="29" t="s">
        <v>19</v>
      </c>
      <c r="B474" s="28"/>
      <c r="C474" s="28"/>
      <c r="D474" s="28" t="s">
        <v>146</v>
      </c>
      <c r="E474" s="200">
        <v>29376</v>
      </c>
      <c r="F474" s="41">
        <v>29376</v>
      </c>
      <c r="G474" s="41">
        <v>0</v>
      </c>
      <c r="H474" s="118">
        <f t="shared" si="20"/>
        <v>0</v>
      </c>
      <c r="I474" s="118">
        <f t="shared" si="19"/>
        <v>0</v>
      </c>
      <c r="J474" s="149"/>
      <c r="L474" s="98"/>
    </row>
    <row r="475" spans="1:12" ht="15" customHeight="1">
      <c r="A475" s="19" t="s">
        <v>19</v>
      </c>
      <c r="B475" s="28"/>
      <c r="C475" s="28"/>
      <c r="D475" s="28" t="s">
        <v>463</v>
      </c>
      <c r="E475" s="200">
        <v>27506</v>
      </c>
      <c r="F475" s="41">
        <v>30635</v>
      </c>
      <c r="G475" s="41">
        <v>29192.16</v>
      </c>
      <c r="H475" s="118">
        <f t="shared" si="20"/>
        <v>0.9529022360045699</v>
      </c>
      <c r="I475" s="118">
        <f t="shared" si="19"/>
        <v>0.0023549850343546203</v>
      </c>
      <c r="J475" s="149"/>
      <c r="L475" s="98"/>
    </row>
    <row r="476" spans="1:12" ht="15" customHeight="1">
      <c r="A476" s="19" t="s">
        <v>19</v>
      </c>
      <c r="B476" s="28"/>
      <c r="C476" s="28"/>
      <c r="D476" s="28" t="s">
        <v>459</v>
      </c>
      <c r="E476" s="200">
        <v>1619</v>
      </c>
      <c r="F476" s="41">
        <v>1802</v>
      </c>
      <c r="G476" s="41">
        <v>1717.83</v>
      </c>
      <c r="H476" s="118">
        <f t="shared" si="20"/>
        <v>0.9532907880133185</v>
      </c>
      <c r="I476" s="118">
        <f t="shared" si="19"/>
        <v>0.00013858049358339352</v>
      </c>
      <c r="J476" s="149"/>
      <c r="L476" s="98"/>
    </row>
    <row r="477" spans="1:12" ht="15" customHeight="1">
      <c r="A477" s="19" t="s">
        <v>20</v>
      </c>
      <c r="B477" s="28"/>
      <c r="C477" s="28"/>
      <c r="D477" s="28" t="s">
        <v>520</v>
      </c>
      <c r="E477" s="200">
        <v>4922</v>
      </c>
      <c r="F477" s="41">
        <v>4906</v>
      </c>
      <c r="G477" s="41">
        <v>4905.44</v>
      </c>
      <c r="H477" s="118">
        <f t="shared" si="20"/>
        <v>0.9998858540562575</v>
      </c>
      <c r="I477" s="118">
        <f t="shared" si="19"/>
        <v>0.0003957308327621021</v>
      </c>
      <c r="J477" s="149"/>
      <c r="L477" s="98"/>
    </row>
    <row r="478" spans="1:12" ht="15" customHeight="1">
      <c r="A478" s="19" t="s">
        <v>20</v>
      </c>
      <c r="B478" s="28"/>
      <c r="C478" s="28"/>
      <c r="D478" s="28" t="s">
        <v>521</v>
      </c>
      <c r="E478" s="200">
        <v>290</v>
      </c>
      <c r="F478" s="41">
        <v>289</v>
      </c>
      <c r="G478" s="41">
        <v>288.51</v>
      </c>
      <c r="H478" s="118">
        <f t="shared" si="20"/>
        <v>0.9983044982698962</v>
      </c>
      <c r="I478" s="118">
        <f t="shared" si="19"/>
        <v>2.32746303206632E-05</v>
      </c>
      <c r="J478" s="149"/>
      <c r="L478" s="98"/>
    </row>
    <row r="479" spans="1:12" ht="15" customHeight="1">
      <c r="A479" s="19" t="s">
        <v>21</v>
      </c>
      <c r="B479" s="28"/>
      <c r="C479" s="28"/>
      <c r="D479" s="28" t="s">
        <v>78</v>
      </c>
      <c r="E479" s="200">
        <v>5059</v>
      </c>
      <c r="F479" s="41">
        <v>5059</v>
      </c>
      <c r="G479" s="41">
        <v>0</v>
      </c>
      <c r="H479" s="118">
        <f t="shared" si="20"/>
        <v>0</v>
      </c>
      <c r="I479" s="118">
        <f t="shared" si="19"/>
        <v>0</v>
      </c>
      <c r="J479" s="149"/>
      <c r="L479" s="98"/>
    </row>
    <row r="480" spans="1:12" ht="15" customHeight="1">
      <c r="A480" s="19" t="s">
        <v>21</v>
      </c>
      <c r="B480" s="28"/>
      <c r="C480" s="28"/>
      <c r="D480" s="28" t="s">
        <v>464</v>
      </c>
      <c r="E480" s="200">
        <v>5584</v>
      </c>
      <c r="F480" s="41">
        <v>6120</v>
      </c>
      <c r="G480" s="41">
        <v>5236.68</v>
      </c>
      <c r="H480" s="118">
        <f t="shared" si="20"/>
        <v>0.8556666666666667</v>
      </c>
      <c r="I480" s="118">
        <f t="shared" si="19"/>
        <v>0.0004224525704745436</v>
      </c>
      <c r="J480" s="149"/>
      <c r="L480" s="98"/>
    </row>
    <row r="481" spans="1:12" ht="15" customHeight="1">
      <c r="A481" s="19" t="s">
        <v>21</v>
      </c>
      <c r="B481" s="28"/>
      <c r="C481" s="28"/>
      <c r="D481" s="28" t="s">
        <v>460</v>
      </c>
      <c r="E481" s="200">
        <v>328</v>
      </c>
      <c r="F481" s="41">
        <v>361</v>
      </c>
      <c r="G481" s="41">
        <v>307.99</v>
      </c>
      <c r="H481" s="118">
        <f t="shared" si="20"/>
        <v>0.8531578947368421</v>
      </c>
      <c r="I481" s="118">
        <f t="shared" si="19"/>
        <v>2.4846117612772727E-05</v>
      </c>
      <c r="J481" s="149"/>
      <c r="L481" s="98"/>
    </row>
    <row r="482" spans="1:12" ht="15" customHeight="1">
      <c r="A482" s="19" t="s">
        <v>22</v>
      </c>
      <c r="B482" s="28"/>
      <c r="C482" s="28"/>
      <c r="D482" s="28" t="s">
        <v>79</v>
      </c>
      <c r="E482" s="200">
        <v>720</v>
      </c>
      <c r="F482" s="41">
        <v>720</v>
      </c>
      <c r="G482" s="41">
        <v>0</v>
      </c>
      <c r="H482" s="118">
        <f t="shared" si="20"/>
        <v>0</v>
      </c>
      <c r="I482" s="118">
        <f t="shared" si="19"/>
        <v>0</v>
      </c>
      <c r="J482" s="149"/>
      <c r="L482" s="98"/>
    </row>
    <row r="483" spans="1:12" ht="15" customHeight="1">
      <c r="A483" s="19" t="s">
        <v>22</v>
      </c>
      <c r="B483" s="28"/>
      <c r="C483" s="28"/>
      <c r="D483" s="28" t="s">
        <v>465</v>
      </c>
      <c r="E483" s="200">
        <v>797</v>
      </c>
      <c r="F483" s="41">
        <v>873</v>
      </c>
      <c r="G483" s="41">
        <v>745.04</v>
      </c>
      <c r="H483" s="118">
        <f t="shared" si="20"/>
        <v>0.8534249713631157</v>
      </c>
      <c r="I483" s="118">
        <f t="shared" si="19"/>
        <v>6.010374189493227E-05</v>
      </c>
      <c r="J483" s="149"/>
      <c r="L483" s="98"/>
    </row>
    <row r="484" spans="1:12" ht="15" customHeight="1">
      <c r="A484" s="19" t="s">
        <v>22</v>
      </c>
      <c r="B484" s="28"/>
      <c r="C484" s="28"/>
      <c r="D484" s="28" t="s">
        <v>461</v>
      </c>
      <c r="E484" s="200">
        <v>46</v>
      </c>
      <c r="F484" s="41">
        <v>52</v>
      </c>
      <c r="G484" s="41">
        <v>43.83</v>
      </c>
      <c r="H484" s="118">
        <f t="shared" si="20"/>
        <v>0.8428846153846153</v>
      </c>
      <c r="I484" s="118">
        <f t="shared" si="19"/>
        <v>3.535846407246432E-06</v>
      </c>
      <c r="J484" s="149"/>
      <c r="L484" s="98"/>
    </row>
    <row r="485" spans="1:12" ht="15" customHeight="1">
      <c r="A485" s="19" t="s">
        <v>9</v>
      </c>
      <c r="B485" s="28"/>
      <c r="C485" s="28"/>
      <c r="D485" s="28" t="s">
        <v>466</v>
      </c>
      <c r="E485" s="200">
        <v>0</v>
      </c>
      <c r="F485" s="41">
        <v>974.6</v>
      </c>
      <c r="G485" s="41">
        <v>974.15</v>
      </c>
      <c r="H485" s="118">
        <f t="shared" si="20"/>
        <v>0.9995382721116355</v>
      </c>
      <c r="I485" s="118">
        <f t="shared" si="19"/>
        <v>7.858646538031284E-05</v>
      </c>
      <c r="J485" s="149"/>
      <c r="L485" s="98"/>
    </row>
    <row r="486" spans="1:12" ht="15" customHeight="1">
      <c r="A486" s="19" t="s">
        <v>9</v>
      </c>
      <c r="B486" s="28"/>
      <c r="C486" s="28"/>
      <c r="D486" s="28" t="s">
        <v>467</v>
      </c>
      <c r="E486" s="200">
        <v>0</v>
      </c>
      <c r="F486" s="41">
        <v>54.85</v>
      </c>
      <c r="G486" s="41">
        <v>54.85</v>
      </c>
      <c r="H486" s="118">
        <f t="shared" si="20"/>
        <v>1</v>
      </c>
      <c r="I486" s="118">
        <f t="shared" si="19"/>
        <v>4.4248499985732785E-06</v>
      </c>
      <c r="J486" s="149"/>
      <c r="L486" s="98"/>
    </row>
    <row r="487" spans="1:12" ht="15" customHeight="1">
      <c r="A487" s="19" t="s">
        <v>45</v>
      </c>
      <c r="B487" s="28"/>
      <c r="C487" s="28"/>
      <c r="D487" s="28" t="s">
        <v>134</v>
      </c>
      <c r="E487" s="200">
        <v>320</v>
      </c>
      <c r="F487" s="41">
        <v>320</v>
      </c>
      <c r="G487" s="41">
        <v>0</v>
      </c>
      <c r="H487" s="118">
        <f t="shared" si="20"/>
        <v>0</v>
      </c>
      <c r="I487" s="118">
        <f t="shared" si="19"/>
        <v>0</v>
      </c>
      <c r="J487" s="149"/>
      <c r="L487" s="98"/>
    </row>
    <row r="488" spans="1:12" ht="12.75" hidden="1">
      <c r="A488" s="29" t="s">
        <v>12</v>
      </c>
      <c r="B488" s="47"/>
      <c r="C488" s="47"/>
      <c r="D488" s="28" t="s">
        <v>236</v>
      </c>
      <c r="E488" s="200">
        <v>0</v>
      </c>
      <c r="F488" s="41">
        <v>0</v>
      </c>
      <c r="G488" s="41">
        <v>0</v>
      </c>
      <c r="H488" s="118" t="e">
        <f t="shared" si="20"/>
        <v>#DIV/0!</v>
      </c>
      <c r="I488" s="118">
        <f t="shared" si="19"/>
        <v>0</v>
      </c>
      <c r="J488" s="84"/>
      <c r="L488" s="98"/>
    </row>
    <row r="489" spans="1:12" ht="12.75">
      <c r="A489" s="29" t="s">
        <v>316</v>
      </c>
      <c r="B489" s="47"/>
      <c r="C489" s="47"/>
      <c r="D489" s="28" t="s">
        <v>139</v>
      </c>
      <c r="E489" s="200">
        <v>1186</v>
      </c>
      <c r="F489" s="41">
        <v>1186</v>
      </c>
      <c r="G489" s="41">
        <v>0</v>
      </c>
      <c r="H489" s="118">
        <f t="shared" si="20"/>
        <v>0</v>
      </c>
      <c r="I489" s="118">
        <f t="shared" si="19"/>
        <v>0</v>
      </c>
      <c r="J489" s="84"/>
      <c r="L489" s="98"/>
    </row>
    <row r="490" spans="1:12" ht="15" customHeight="1">
      <c r="A490" s="19" t="s">
        <v>316</v>
      </c>
      <c r="B490" s="120"/>
      <c r="C490" s="28"/>
      <c r="D490" s="28" t="s">
        <v>468</v>
      </c>
      <c r="E490" s="200">
        <v>1120</v>
      </c>
      <c r="F490" s="41">
        <v>1120</v>
      </c>
      <c r="G490" s="41">
        <v>854.72</v>
      </c>
      <c r="H490" s="118">
        <f t="shared" si="20"/>
        <v>0.7631428571428571</v>
      </c>
      <c r="I490" s="118">
        <f t="shared" si="19"/>
        <v>6.895182845543396E-05</v>
      </c>
      <c r="J490" s="122"/>
      <c r="L490" s="98"/>
    </row>
    <row r="491" spans="1:12" ht="15" customHeight="1">
      <c r="A491" s="19" t="s">
        <v>316</v>
      </c>
      <c r="B491" s="120"/>
      <c r="C491" s="28"/>
      <c r="D491" s="28" t="s">
        <v>469</v>
      </c>
      <c r="E491" s="200">
        <v>66</v>
      </c>
      <c r="F491" s="41">
        <v>66</v>
      </c>
      <c r="G491" s="41">
        <v>50.28</v>
      </c>
      <c r="H491" s="118">
        <f t="shared" si="20"/>
        <v>0.7618181818181818</v>
      </c>
      <c r="I491" s="118">
        <f t="shared" si="19"/>
        <v>4.056179725219042E-06</v>
      </c>
      <c r="J491" s="122"/>
      <c r="L491" s="98"/>
    </row>
    <row r="492" spans="1:12" ht="18" customHeight="1">
      <c r="A492" s="20" t="s">
        <v>54</v>
      </c>
      <c r="B492" s="16">
        <v>854</v>
      </c>
      <c r="C492" s="16"/>
      <c r="D492" s="16"/>
      <c r="E492" s="201">
        <f>SUM(E493,E514,E519,E517,E506)</f>
        <v>167941</v>
      </c>
      <c r="F492" s="201">
        <f>SUM(F493,F514,F519,F517,F506)</f>
        <v>214997</v>
      </c>
      <c r="G492" s="201">
        <f>SUM(G493,G514,G519,G517,G506)</f>
        <v>111738.26000000001</v>
      </c>
      <c r="H492" s="30">
        <f aca="true" t="shared" si="21" ref="H492:H499">G492/F492</f>
        <v>0.5197200891175227</v>
      </c>
      <c r="I492" s="30">
        <f t="shared" si="19"/>
        <v>0.009014130165935837</v>
      </c>
      <c r="J492" s="83">
        <v>0</v>
      </c>
      <c r="L492" s="93"/>
    </row>
    <row r="493" spans="1:12" ht="15" customHeight="1">
      <c r="A493" s="87" t="s">
        <v>55</v>
      </c>
      <c r="B493" s="120"/>
      <c r="C493" s="120">
        <v>85401</v>
      </c>
      <c r="D493" s="120"/>
      <c r="E493" s="202">
        <f>SUM(E494:E505)</f>
        <v>106027</v>
      </c>
      <c r="F493" s="202">
        <f>SUM(F494:F505)</f>
        <v>111807</v>
      </c>
      <c r="G493" s="202">
        <f>SUM(G494:G505)</f>
        <v>54219.700000000004</v>
      </c>
      <c r="H493" s="90">
        <f t="shared" si="21"/>
        <v>0.48494012002826303</v>
      </c>
      <c r="I493" s="90">
        <f t="shared" si="19"/>
        <v>0.004374002542710002</v>
      </c>
      <c r="J493" s="122"/>
      <c r="L493" s="93"/>
    </row>
    <row r="494" spans="1:12" s="94" customFormat="1" ht="15" customHeight="1">
      <c r="A494" s="29" t="s">
        <v>470</v>
      </c>
      <c r="B494" s="28"/>
      <c r="C494" s="28"/>
      <c r="D494" s="28" t="s">
        <v>95</v>
      </c>
      <c r="E494" s="200">
        <v>100</v>
      </c>
      <c r="F494" s="41">
        <v>100</v>
      </c>
      <c r="G494" s="41">
        <v>0</v>
      </c>
      <c r="H494" s="118">
        <f t="shared" si="21"/>
        <v>0</v>
      </c>
      <c r="I494" s="118">
        <f aca="true" t="shared" si="22" ref="I494:I557">G494/12395900.43</f>
        <v>0</v>
      </c>
      <c r="J494" s="42"/>
      <c r="L494" s="98"/>
    </row>
    <row r="495" spans="1:14" ht="12.75">
      <c r="A495" s="19" t="s">
        <v>19</v>
      </c>
      <c r="B495" s="18"/>
      <c r="C495" s="18"/>
      <c r="D495" s="18">
        <v>4010</v>
      </c>
      <c r="E495" s="203">
        <v>73376</v>
      </c>
      <c r="F495" s="45">
        <v>79163</v>
      </c>
      <c r="G495" s="45">
        <v>35748.51</v>
      </c>
      <c r="H495" s="118">
        <f t="shared" si="21"/>
        <v>0.4515810416482448</v>
      </c>
      <c r="I495" s="118">
        <f t="shared" si="22"/>
        <v>0.00288389780168636</v>
      </c>
      <c r="J495" s="42"/>
      <c r="L495" s="98"/>
      <c r="M495" s="94"/>
      <c r="N495" s="94"/>
    </row>
    <row r="496" spans="1:12" s="89" customFormat="1" ht="12.75">
      <c r="A496" s="19" t="s">
        <v>20</v>
      </c>
      <c r="B496" s="18"/>
      <c r="C496" s="18"/>
      <c r="D496" s="18">
        <v>4040</v>
      </c>
      <c r="E496" s="203">
        <v>6700</v>
      </c>
      <c r="F496" s="45">
        <v>5737</v>
      </c>
      <c r="G496" s="45">
        <v>5736.1</v>
      </c>
      <c r="H496" s="118">
        <f t="shared" si="21"/>
        <v>0.9998431235837546</v>
      </c>
      <c r="I496" s="118">
        <f t="shared" si="22"/>
        <v>0.00046274169693374993</v>
      </c>
      <c r="J496" s="42"/>
      <c r="L496" s="128"/>
    </row>
    <row r="497" spans="1:14" ht="12.75">
      <c r="A497" s="19" t="s">
        <v>21</v>
      </c>
      <c r="B497" s="18"/>
      <c r="C497" s="18"/>
      <c r="D497" s="18">
        <v>4110</v>
      </c>
      <c r="E497" s="203">
        <v>13918</v>
      </c>
      <c r="F497" s="45">
        <v>14755</v>
      </c>
      <c r="G497" s="45">
        <v>6430.19</v>
      </c>
      <c r="H497" s="118">
        <f t="shared" si="21"/>
        <v>0.4357973568281938</v>
      </c>
      <c r="I497" s="118">
        <f t="shared" si="22"/>
        <v>0.0005187352089758597</v>
      </c>
      <c r="J497" s="42"/>
      <c r="L497" s="98"/>
      <c r="M497" s="94"/>
      <c r="N497" s="94"/>
    </row>
    <row r="498" spans="1:14" ht="12.75">
      <c r="A498" s="19" t="s">
        <v>22</v>
      </c>
      <c r="B498" s="18"/>
      <c r="C498" s="18"/>
      <c r="D498" s="18">
        <v>4120</v>
      </c>
      <c r="E498" s="203">
        <v>1962</v>
      </c>
      <c r="F498" s="45">
        <v>2081</v>
      </c>
      <c r="G498" s="45">
        <v>346.99</v>
      </c>
      <c r="H498" s="118">
        <f t="shared" si="21"/>
        <v>0.16674195098510333</v>
      </c>
      <c r="I498" s="118">
        <f t="shared" si="22"/>
        <v>2.799231907028153E-05</v>
      </c>
      <c r="J498" s="42"/>
      <c r="L498" s="98"/>
      <c r="M498" s="94"/>
      <c r="N498" s="94"/>
    </row>
    <row r="499" spans="1:14" ht="12.75">
      <c r="A499" s="19" t="s">
        <v>9</v>
      </c>
      <c r="B499" s="18"/>
      <c r="C499" s="18"/>
      <c r="D499" s="18">
        <v>4210</v>
      </c>
      <c r="E499" s="203">
        <v>1100</v>
      </c>
      <c r="F499" s="45">
        <v>1093</v>
      </c>
      <c r="G499" s="45">
        <v>159.23</v>
      </c>
      <c r="H499" s="118">
        <f t="shared" si="21"/>
        <v>0.14568161024702653</v>
      </c>
      <c r="I499" s="118">
        <f t="shared" si="22"/>
        <v>1.2845375848182736E-05</v>
      </c>
      <c r="J499" s="42"/>
      <c r="L499" s="98"/>
      <c r="M499" s="94"/>
      <c r="N499" s="94"/>
    </row>
    <row r="500" spans="1:14" ht="12.75">
      <c r="A500" s="29" t="s">
        <v>427</v>
      </c>
      <c r="B500" s="18"/>
      <c r="C500" s="18"/>
      <c r="D500" s="18">
        <v>4240</v>
      </c>
      <c r="E500" s="203">
        <v>1300</v>
      </c>
      <c r="F500" s="45">
        <v>1300</v>
      </c>
      <c r="G500" s="45">
        <v>399</v>
      </c>
      <c r="H500" s="118">
        <f aca="true" t="shared" si="23" ref="H500:H653">G500/F500</f>
        <v>0.3069230769230769</v>
      </c>
      <c r="I500" s="118">
        <f t="shared" si="22"/>
        <v>3.218806106528237E-05</v>
      </c>
      <c r="J500" s="42"/>
      <c r="L500" s="98"/>
      <c r="M500" s="94"/>
      <c r="N500" s="94"/>
    </row>
    <row r="501" spans="1:14" ht="12.75">
      <c r="A501" s="29" t="s">
        <v>11</v>
      </c>
      <c r="B501" s="18"/>
      <c r="C501" s="18"/>
      <c r="D501" s="28" t="s">
        <v>132</v>
      </c>
      <c r="E501" s="203">
        <v>300</v>
      </c>
      <c r="F501" s="45">
        <v>300</v>
      </c>
      <c r="G501" s="45">
        <v>0</v>
      </c>
      <c r="H501" s="118">
        <f t="shared" si="23"/>
        <v>0</v>
      </c>
      <c r="I501" s="118">
        <f t="shared" si="22"/>
        <v>0</v>
      </c>
      <c r="J501" s="42"/>
      <c r="L501" s="98"/>
      <c r="M501" s="94"/>
      <c r="N501" s="94"/>
    </row>
    <row r="502" spans="1:14" ht="12.75">
      <c r="A502" s="29" t="s">
        <v>11</v>
      </c>
      <c r="B502" s="18"/>
      <c r="C502" s="18"/>
      <c r="D502" s="28" t="s">
        <v>134</v>
      </c>
      <c r="E502" s="203">
        <v>70</v>
      </c>
      <c r="F502" s="45">
        <v>70</v>
      </c>
      <c r="G502" s="45">
        <v>70</v>
      </c>
      <c r="H502" s="118">
        <f t="shared" si="23"/>
        <v>1</v>
      </c>
      <c r="I502" s="118">
        <f t="shared" si="22"/>
        <v>5.647028257067083E-06</v>
      </c>
      <c r="J502" s="42"/>
      <c r="L502" s="98"/>
      <c r="M502" s="94"/>
      <c r="N502" s="94"/>
    </row>
    <row r="503" spans="1:14" ht="12.75">
      <c r="A503" s="29" t="s">
        <v>12</v>
      </c>
      <c r="B503" s="18"/>
      <c r="C503" s="18"/>
      <c r="D503" s="28" t="s">
        <v>76</v>
      </c>
      <c r="E503" s="203">
        <v>50</v>
      </c>
      <c r="F503" s="45">
        <v>50</v>
      </c>
      <c r="G503" s="45">
        <v>0</v>
      </c>
      <c r="H503" s="118">
        <f t="shared" si="23"/>
        <v>0</v>
      </c>
      <c r="I503" s="118">
        <f t="shared" si="22"/>
        <v>0</v>
      </c>
      <c r="J503" s="42"/>
      <c r="L503" s="98"/>
      <c r="M503" s="94"/>
      <c r="N503" s="94"/>
    </row>
    <row r="504" spans="1:14" ht="12.75">
      <c r="A504" s="19" t="s">
        <v>316</v>
      </c>
      <c r="B504" s="18"/>
      <c r="C504" s="18"/>
      <c r="D504" s="18">
        <v>4440</v>
      </c>
      <c r="E504" s="203">
        <v>7101</v>
      </c>
      <c r="F504" s="45">
        <v>7108</v>
      </c>
      <c r="G504" s="45">
        <v>5329.68</v>
      </c>
      <c r="H504" s="118">
        <f t="shared" si="23"/>
        <v>0.7498142937535172</v>
      </c>
      <c r="I504" s="118">
        <f t="shared" si="22"/>
        <v>0.00042995505087321844</v>
      </c>
      <c r="J504" s="42"/>
      <c r="L504" s="98"/>
      <c r="M504" s="94"/>
      <c r="N504" s="94"/>
    </row>
    <row r="505" spans="1:14" ht="25.5">
      <c r="A505" s="19" t="s">
        <v>207</v>
      </c>
      <c r="B505" s="18"/>
      <c r="C505" s="18"/>
      <c r="D505" s="18" t="s">
        <v>193</v>
      </c>
      <c r="E505" s="203">
        <v>50</v>
      </c>
      <c r="F505" s="45">
        <v>50</v>
      </c>
      <c r="G505" s="45">
        <v>0</v>
      </c>
      <c r="H505" s="118">
        <f t="shared" si="23"/>
        <v>0</v>
      </c>
      <c r="I505" s="118">
        <f t="shared" si="22"/>
        <v>0</v>
      </c>
      <c r="J505" s="42"/>
      <c r="L505" s="98"/>
      <c r="M505" s="94"/>
      <c r="N505" s="94"/>
    </row>
    <row r="506" spans="1:14" ht="15" customHeight="1">
      <c r="A506" s="132" t="s">
        <v>210</v>
      </c>
      <c r="B506" s="120"/>
      <c r="C506" s="120" t="s">
        <v>211</v>
      </c>
      <c r="D506" s="120"/>
      <c r="E506" s="202">
        <f>SUM(E507:E513)</f>
        <v>22314</v>
      </c>
      <c r="F506" s="123">
        <f>SUM(F507:F513)</f>
        <v>23210</v>
      </c>
      <c r="G506" s="123">
        <f>SUM(G507:G513)</f>
        <v>7871.5599999999995</v>
      </c>
      <c r="H506" s="90">
        <f t="shared" si="23"/>
        <v>0.33914519603619125</v>
      </c>
      <c r="I506" s="90">
        <f t="shared" si="22"/>
        <v>0.0006350131678171281</v>
      </c>
      <c r="J506" s="122"/>
      <c r="L506" s="98"/>
      <c r="M506" s="94"/>
      <c r="N506" s="94"/>
    </row>
    <row r="507" spans="1:14" ht="12.75">
      <c r="A507" s="50" t="s">
        <v>19</v>
      </c>
      <c r="B507" s="18"/>
      <c r="C507" s="18"/>
      <c r="D507" s="28" t="s">
        <v>146</v>
      </c>
      <c r="E507" s="203">
        <v>16092</v>
      </c>
      <c r="F507" s="45">
        <v>16942</v>
      </c>
      <c r="G507" s="45">
        <v>5125.04</v>
      </c>
      <c r="H507" s="118">
        <f t="shared" si="23"/>
        <v>0.30250501711722344</v>
      </c>
      <c r="I507" s="118">
        <f t="shared" si="22"/>
        <v>0.00041344636712284405</v>
      </c>
      <c r="J507" s="42"/>
      <c r="L507" s="98"/>
      <c r="M507" s="94"/>
      <c r="N507" s="94"/>
    </row>
    <row r="508" spans="1:14" ht="12.75">
      <c r="A508" s="50" t="s">
        <v>20</v>
      </c>
      <c r="B508" s="18"/>
      <c r="C508" s="18"/>
      <c r="D508" s="28" t="s">
        <v>164</v>
      </c>
      <c r="E508" s="203">
        <v>1150</v>
      </c>
      <c r="F508" s="45">
        <v>1048</v>
      </c>
      <c r="G508" s="45">
        <v>1047.39</v>
      </c>
      <c r="H508" s="118">
        <f t="shared" si="23"/>
        <v>0.9994179389312978</v>
      </c>
      <c r="I508" s="118">
        <f t="shared" si="22"/>
        <v>8.449487037384989E-05</v>
      </c>
      <c r="J508" s="42"/>
      <c r="L508" s="98"/>
      <c r="M508" s="94"/>
      <c r="N508" s="94"/>
    </row>
    <row r="509" spans="1:12" s="89" customFormat="1" ht="12.75">
      <c r="A509" s="50" t="s">
        <v>21</v>
      </c>
      <c r="B509" s="18"/>
      <c r="C509" s="18"/>
      <c r="D509" s="28" t="s">
        <v>78</v>
      </c>
      <c r="E509" s="203">
        <v>2962</v>
      </c>
      <c r="F509" s="45">
        <v>3091</v>
      </c>
      <c r="G509" s="45">
        <v>906.9</v>
      </c>
      <c r="H509" s="118">
        <f t="shared" si="23"/>
        <v>0.29340019411193785</v>
      </c>
      <c r="I509" s="118">
        <f t="shared" si="22"/>
        <v>7.316128466191624E-05</v>
      </c>
      <c r="J509" s="42"/>
      <c r="L509" s="128"/>
    </row>
    <row r="510" spans="1:14" ht="12.75">
      <c r="A510" s="50" t="s">
        <v>22</v>
      </c>
      <c r="B510" s="18"/>
      <c r="C510" s="18"/>
      <c r="D510" s="28" t="s">
        <v>79</v>
      </c>
      <c r="E510" s="203">
        <v>418</v>
      </c>
      <c r="F510" s="45">
        <v>437</v>
      </c>
      <c r="G510" s="45">
        <v>128.23</v>
      </c>
      <c r="H510" s="118">
        <f t="shared" si="23"/>
        <v>0.29343249427917617</v>
      </c>
      <c r="I510" s="118">
        <f t="shared" si="22"/>
        <v>1.0344549048624456E-05</v>
      </c>
      <c r="J510" s="42"/>
      <c r="L510" s="98"/>
      <c r="M510" s="94"/>
      <c r="N510" s="94"/>
    </row>
    <row r="511" spans="1:14" ht="12.75">
      <c r="A511" s="50" t="s">
        <v>9</v>
      </c>
      <c r="B511" s="18"/>
      <c r="C511" s="18"/>
      <c r="D511" s="28" t="s">
        <v>80</v>
      </c>
      <c r="E511" s="203">
        <v>200</v>
      </c>
      <c r="F511" s="45">
        <v>200</v>
      </c>
      <c r="G511" s="45">
        <v>0</v>
      </c>
      <c r="H511" s="118">
        <f t="shared" si="23"/>
        <v>0</v>
      </c>
      <c r="I511" s="118">
        <f t="shared" si="22"/>
        <v>0</v>
      </c>
      <c r="J511" s="42"/>
      <c r="L511" s="98"/>
      <c r="M511" s="94"/>
      <c r="N511" s="94"/>
    </row>
    <row r="512" spans="1:14" ht="12.75">
      <c r="A512" s="29" t="s">
        <v>427</v>
      </c>
      <c r="B512" s="18"/>
      <c r="C512" s="18"/>
      <c r="D512" s="28" t="s">
        <v>142</v>
      </c>
      <c r="E512" s="203">
        <v>1492</v>
      </c>
      <c r="F512" s="45">
        <v>1492</v>
      </c>
      <c r="G512" s="45">
        <v>664</v>
      </c>
      <c r="H512" s="118">
        <f t="shared" si="23"/>
        <v>0.4450402144772118</v>
      </c>
      <c r="I512" s="118">
        <f t="shared" si="22"/>
        <v>5.356609660989347E-05</v>
      </c>
      <c r="J512" s="42"/>
      <c r="L512" s="98"/>
      <c r="M512" s="94"/>
      <c r="N512" s="94"/>
    </row>
    <row r="513" spans="1:14" ht="12.75" hidden="1">
      <c r="A513" s="19" t="s">
        <v>316</v>
      </c>
      <c r="B513" s="18"/>
      <c r="C513" s="18"/>
      <c r="D513" s="28" t="s">
        <v>139</v>
      </c>
      <c r="E513" s="203">
        <v>0</v>
      </c>
      <c r="F513" s="45">
        <v>0</v>
      </c>
      <c r="G513" s="45">
        <v>0</v>
      </c>
      <c r="H513" s="118" t="e">
        <f t="shared" si="23"/>
        <v>#DIV/0!</v>
      </c>
      <c r="I513" s="118">
        <f t="shared" si="22"/>
        <v>0</v>
      </c>
      <c r="J513" s="42"/>
      <c r="L513" s="98"/>
      <c r="M513" s="94"/>
      <c r="N513" s="94"/>
    </row>
    <row r="514" spans="1:14" ht="15" customHeight="1">
      <c r="A514" s="87" t="s">
        <v>471</v>
      </c>
      <c r="B514" s="120"/>
      <c r="C514" s="120" t="s">
        <v>158</v>
      </c>
      <c r="D514" s="120"/>
      <c r="E514" s="202">
        <f>SUM(E515:E516)</f>
        <v>24000</v>
      </c>
      <c r="F514" s="123">
        <f>SUM(F515:F516)</f>
        <v>62380</v>
      </c>
      <c r="G514" s="123">
        <f>SUM(G515:G516)</f>
        <v>35148</v>
      </c>
      <c r="H514" s="90">
        <f t="shared" si="23"/>
        <v>0.5634498236614299</v>
      </c>
      <c r="I514" s="90">
        <f t="shared" si="22"/>
        <v>0.002835453559705626</v>
      </c>
      <c r="J514" s="122"/>
      <c r="L514" s="98"/>
      <c r="M514" s="94"/>
      <c r="N514" s="94"/>
    </row>
    <row r="515" spans="1:14" ht="12.75" hidden="1">
      <c r="A515" s="29" t="s">
        <v>166</v>
      </c>
      <c r="B515" s="18"/>
      <c r="C515" s="28"/>
      <c r="D515" s="28" t="s">
        <v>167</v>
      </c>
      <c r="E515" s="203">
        <v>0</v>
      </c>
      <c r="F515" s="45">
        <v>0</v>
      </c>
      <c r="G515" s="45">
        <v>0</v>
      </c>
      <c r="H515" s="118" t="e">
        <f t="shared" si="23"/>
        <v>#DIV/0!</v>
      </c>
      <c r="I515" s="227">
        <f t="shared" si="22"/>
        <v>0</v>
      </c>
      <c r="J515" s="42"/>
      <c r="L515" s="98"/>
      <c r="M515" s="94"/>
      <c r="N515" s="94"/>
    </row>
    <row r="516" spans="1:14" ht="12.75">
      <c r="A516" s="29" t="s">
        <v>168</v>
      </c>
      <c r="B516" s="18"/>
      <c r="C516" s="18"/>
      <c r="D516" s="28" t="s">
        <v>169</v>
      </c>
      <c r="E516" s="203">
        <v>24000</v>
      </c>
      <c r="F516" s="45">
        <v>62380</v>
      </c>
      <c r="G516" s="45">
        <v>35148</v>
      </c>
      <c r="H516" s="118">
        <f t="shared" si="23"/>
        <v>0.5634498236614299</v>
      </c>
      <c r="I516" s="118">
        <f t="shared" si="22"/>
        <v>0.002835453559705626</v>
      </c>
      <c r="J516" s="42"/>
      <c r="L516" s="98"/>
      <c r="M516" s="94"/>
      <c r="N516" s="94"/>
    </row>
    <row r="517" spans="1:12" s="89" customFormat="1" ht="15" customHeight="1">
      <c r="A517" s="87" t="s">
        <v>472</v>
      </c>
      <c r="B517" s="120"/>
      <c r="C517" s="120" t="s">
        <v>473</v>
      </c>
      <c r="D517" s="120"/>
      <c r="E517" s="202">
        <f>E518</f>
        <v>12500</v>
      </c>
      <c r="F517" s="202">
        <f>F518</f>
        <v>14500</v>
      </c>
      <c r="G517" s="202">
        <f>G518</f>
        <v>14499</v>
      </c>
      <c r="H517" s="90">
        <f t="shared" si="23"/>
        <v>0.9999310344827587</v>
      </c>
      <c r="I517" s="90">
        <f t="shared" si="22"/>
        <v>0.0011696608957030804</v>
      </c>
      <c r="J517" s="122"/>
      <c r="L517" s="128"/>
    </row>
    <row r="518" spans="1:14" ht="12.75">
      <c r="A518" s="29" t="s">
        <v>166</v>
      </c>
      <c r="B518" s="18"/>
      <c r="C518" s="18"/>
      <c r="D518" s="28" t="s">
        <v>167</v>
      </c>
      <c r="E518" s="203">
        <v>12500</v>
      </c>
      <c r="F518" s="45">
        <v>14500</v>
      </c>
      <c r="G518" s="45">
        <v>14499</v>
      </c>
      <c r="H518" s="118">
        <f t="shared" si="23"/>
        <v>0.9999310344827587</v>
      </c>
      <c r="I518" s="118">
        <f t="shared" si="22"/>
        <v>0.0011696608957030804</v>
      </c>
      <c r="J518" s="42"/>
      <c r="L518" s="98"/>
      <c r="M518" s="94"/>
      <c r="N518" s="94"/>
    </row>
    <row r="519" spans="1:12" s="89" customFormat="1" ht="15" customHeight="1">
      <c r="A519" s="87" t="s">
        <v>15</v>
      </c>
      <c r="B519" s="120"/>
      <c r="C519" s="120" t="s">
        <v>184</v>
      </c>
      <c r="D519" s="120"/>
      <c r="E519" s="202">
        <f>SUM(E520:E522)</f>
        <v>3100</v>
      </c>
      <c r="F519" s="123">
        <f>SUM(F520:F522)</f>
        <v>3100</v>
      </c>
      <c r="G519" s="123">
        <f>SUM(G520:G522)</f>
        <v>0</v>
      </c>
      <c r="H519" s="90">
        <f t="shared" si="23"/>
        <v>0</v>
      </c>
      <c r="I519" s="90">
        <f t="shared" si="22"/>
        <v>0</v>
      </c>
      <c r="J519" s="122"/>
      <c r="L519" s="128"/>
    </row>
    <row r="520" spans="1:14" ht="12.75">
      <c r="A520" s="29" t="s">
        <v>9</v>
      </c>
      <c r="B520" s="18"/>
      <c r="C520" s="28"/>
      <c r="D520" s="28" t="s">
        <v>80</v>
      </c>
      <c r="E520" s="203">
        <v>500</v>
      </c>
      <c r="F520" s="45">
        <v>500</v>
      </c>
      <c r="G520" s="45">
        <v>0</v>
      </c>
      <c r="H520" s="118">
        <f t="shared" si="23"/>
        <v>0</v>
      </c>
      <c r="I520" s="118">
        <f t="shared" si="22"/>
        <v>0</v>
      </c>
      <c r="J520" s="42"/>
      <c r="L520" s="98"/>
      <c r="M520" s="94"/>
      <c r="N520" s="94"/>
    </row>
    <row r="521" spans="1:14" ht="12.75">
      <c r="A521" s="29" t="s">
        <v>12</v>
      </c>
      <c r="B521" s="18"/>
      <c r="C521" s="28"/>
      <c r="D521" s="28" t="s">
        <v>76</v>
      </c>
      <c r="E521" s="203">
        <v>2500</v>
      </c>
      <c r="F521" s="45">
        <v>2500</v>
      </c>
      <c r="G521" s="45">
        <v>0</v>
      </c>
      <c r="H521" s="118">
        <f t="shared" si="23"/>
        <v>0</v>
      </c>
      <c r="I521" s="118">
        <f t="shared" si="22"/>
        <v>0</v>
      </c>
      <c r="J521" s="42"/>
      <c r="L521" s="98"/>
      <c r="M521" s="94"/>
      <c r="N521" s="94"/>
    </row>
    <row r="522" spans="1:12" s="89" customFormat="1" ht="12.75">
      <c r="A522" s="29" t="s">
        <v>26</v>
      </c>
      <c r="B522" s="18"/>
      <c r="C522" s="28"/>
      <c r="D522" s="28" t="s">
        <v>89</v>
      </c>
      <c r="E522" s="203">
        <v>100</v>
      </c>
      <c r="F522" s="45">
        <v>100</v>
      </c>
      <c r="G522" s="45">
        <v>0</v>
      </c>
      <c r="H522" s="118">
        <f t="shared" si="23"/>
        <v>0</v>
      </c>
      <c r="I522" s="118">
        <f t="shared" si="22"/>
        <v>0</v>
      </c>
      <c r="J522" s="42"/>
      <c r="L522" s="128"/>
    </row>
    <row r="523" spans="1:12" s="89" customFormat="1" ht="18" customHeight="1">
      <c r="A523" s="79" t="s">
        <v>432</v>
      </c>
      <c r="B523" s="80" t="s">
        <v>433</v>
      </c>
      <c r="C523" s="80"/>
      <c r="D523" s="80"/>
      <c r="E523" s="207">
        <f>E524+E539+E560+E568+E570+E558</f>
        <v>6000216</v>
      </c>
      <c r="F523" s="207">
        <f>F524+F539+F560+F568+F570+F558</f>
        <v>6151389.46</v>
      </c>
      <c r="G523" s="207">
        <f>SUM(G524,G539,G558,G560,G568,G570)</f>
        <v>3033029.5100000002</v>
      </c>
      <c r="H523" s="30">
        <f t="shared" si="23"/>
        <v>0.49306413286340683</v>
      </c>
      <c r="I523" s="30">
        <f t="shared" si="22"/>
        <v>0.24468004782126185</v>
      </c>
      <c r="J523" s="222"/>
      <c r="L523" s="128"/>
    </row>
    <row r="524" spans="1:12" ht="15" customHeight="1">
      <c r="A524" s="87" t="s">
        <v>421</v>
      </c>
      <c r="B524" s="125"/>
      <c r="C524" s="125" t="s">
        <v>434</v>
      </c>
      <c r="D524" s="120"/>
      <c r="E524" s="202">
        <f>SUM(E525:E538)</f>
        <v>2885200</v>
      </c>
      <c r="F524" s="202">
        <f>SUM(F525:F538)</f>
        <v>2885200</v>
      </c>
      <c r="G524" s="202">
        <f>SUM(G525:G538)</f>
        <v>1584185.56</v>
      </c>
      <c r="H524" s="90">
        <f t="shared" si="23"/>
        <v>0.5490730486621378</v>
      </c>
      <c r="I524" s="90">
        <f t="shared" si="22"/>
        <v>0.12779915173939488</v>
      </c>
      <c r="J524" s="122"/>
      <c r="L524" s="98"/>
    </row>
    <row r="525" spans="1:12" ht="36.75" customHeight="1">
      <c r="A525" s="245" t="s">
        <v>324</v>
      </c>
      <c r="B525" s="125"/>
      <c r="C525" s="125"/>
      <c r="D525" s="28" t="s">
        <v>244</v>
      </c>
      <c r="E525" s="200">
        <v>2000</v>
      </c>
      <c r="F525" s="200">
        <v>2000</v>
      </c>
      <c r="G525" s="200">
        <v>0</v>
      </c>
      <c r="H525" s="118">
        <f t="shared" si="23"/>
        <v>0</v>
      </c>
      <c r="I525" s="118">
        <f t="shared" si="22"/>
        <v>0</v>
      </c>
      <c r="J525" s="38"/>
      <c r="L525" s="98"/>
    </row>
    <row r="526" spans="1:12" ht="15" customHeight="1">
      <c r="A526" s="29" t="s">
        <v>50</v>
      </c>
      <c r="B526" s="16"/>
      <c r="C526" s="16"/>
      <c r="D526" s="28" t="s">
        <v>145</v>
      </c>
      <c r="E526" s="200">
        <v>2837438</v>
      </c>
      <c r="F526" s="41">
        <v>2837438</v>
      </c>
      <c r="G526" s="41">
        <v>1561119.6</v>
      </c>
      <c r="H526" s="118">
        <f t="shared" si="23"/>
        <v>0.5501863300625424</v>
      </c>
      <c r="I526" s="118">
        <f t="shared" si="22"/>
        <v>0.12593837848373232</v>
      </c>
      <c r="J526" s="122"/>
      <c r="L526" s="98"/>
    </row>
    <row r="527" spans="1:12" ht="15" customHeight="1">
      <c r="A527" s="29" t="s">
        <v>19</v>
      </c>
      <c r="B527" s="16"/>
      <c r="C527" s="16"/>
      <c r="D527" s="28" t="s">
        <v>146</v>
      </c>
      <c r="E527" s="200">
        <v>32986</v>
      </c>
      <c r="F527" s="41">
        <v>32986</v>
      </c>
      <c r="G527" s="41">
        <v>14941.18</v>
      </c>
      <c r="H527" s="118">
        <f t="shared" si="23"/>
        <v>0.4529551931122294</v>
      </c>
      <c r="I527" s="118">
        <f t="shared" si="22"/>
        <v>0.0012053323664846507</v>
      </c>
      <c r="J527" s="122"/>
      <c r="L527" s="98"/>
    </row>
    <row r="528" spans="1:12" ht="15" customHeight="1">
      <c r="A528" s="29" t="s">
        <v>20</v>
      </c>
      <c r="B528" s="16"/>
      <c r="C528" s="16"/>
      <c r="D528" s="28" t="s">
        <v>164</v>
      </c>
      <c r="E528" s="200">
        <v>2951</v>
      </c>
      <c r="F528" s="41">
        <v>2894</v>
      </c>
      <c r="G528" s="41">
        <v>2893.66</v>
      </c>
      <c r="H528" s="118">
        <f t="shared" si="23"/>
        <v>0.9998825155494125</v>
      </c>
      <c r="I528" s="118">
        <f t="shared" si="22"/>
        <v>0.00023343685409063907</v>
      </c>
      <c r="J528" s="122"/>
      <c r="L528" s="98"/>
    </row>
    <row r="529" spans="1:12" ht="15" customHeight="1">
      <c r="A529" s="29" t="s">
        <v>27</v>
      </c>
      <c r="B529" s="16"/>
      <c r="C529" s="16"/>
      <c r="D529" s="28" t="s">
        <v>78</v>
      </c>
      <c r="E529" s="200">
        <v>5672</v>
      </c>
      <c r="F529" s="41">
        <v>5663</v>
      </c>
      <c r="G529" s="41">
        <v>2707.56</v>
      </c>
      <c r="H529" s="118">
        <f t="shared" si="23"/>
        <v>0.4781140738124669</v>
      </c>
      <c r="I529" s="118">
        <f t="shared" si="22"/>
        <v>0.000218423826110065</v>
      </c>
      <c r="J529" s="122"/>
      <c r="L529" s="98"/>
    </row>
    <row r="530" spans="1:12" ht="15" customHeight="1">
      <c r="A530" s="29" t="s">
        <v>22</v>
      </c>
      <c r="B530" s="16"/>
      <c r="C530" s="16"/>
      <c r="D530" s="28" t="s">
        <v>79</v>
      </c>
      <c r="E530" s="200">
        <v>524</v>
      </c>
      <c r="F530" s="41">
        <v>524</v>
      </c>
      <c r="G530" s="41">
        <v>166.08</v>
      </c>
      <c r="H530" s="118">
        <f t="shared" si="23"/>
        <v>0.3169465648854962</v>
      </c>
      <c r="I530" s="118">
        <f t="shared" si="22"/>
        <v>1.3397977899052874E-05</v>
      </c>
      <c r="J530" s="122"/>
      <c r="L530" s="98"/>
    </row>
    <row r="531" spans="1:12" ht="15" customHeight="1" hidden="1">
      <c r="A531" s="29" t="s">
        <v>159</v>
      </c>
      <c r="B531" s="16"/>
      <c r="C531" s="16"/>
      <c r="D531" s="28" t="s">
        <v>160</v>
      </c>
      <c r="E531" s="200">
        <v>0</v>
      </c>
      <c r="F531" s="41">
        <v>0</v>
      </c>
      <c r="G531" s="41">
        <v>0</v>
      </c>
      <c r="H531" s="118" t="e">
        <f t="shared" si="23"/>
        <v>#DIV/0!</v>
      </c>
      <c r="I531" s="118">
        <f t="shared" si="22"/>
        <v>0</v>
      </c>
      <c r="J531" s="122"/>
      <c r="L531" s="98"/>
    </row>
    <row r="532" spans="1:12" ht="15" customHeight="1">
      <c r="A532" s="29" t="s">
        <v>9</v>
      </c>
      <c r="B532" s="16"/>
      <c r="C532" s="16"/>
      <c r="D532" s="28" t="s">
        <v>80</v>
      </c>
      <c r="E532" s="200">
        <v>1100</v>
      </c>
      <c r="F532" s="41">
        <v>766</v>
      </c>
      <c r="G532" s="41">
        <v>502.32</v>
      </c>
      <c r="H532" s="118">
        <f t="shared" si="23"/>
        <v>0.6557702349869452</v>
      </c>
      <c r="I532" s="118">
        <f t="shared" si="22"/>
        <v>4.052307477271338E-05</v>
      </c>
      <c r="J532" s="122"/>
      <c r="L532" s="98"/>
    </row>
    <row r="533" spans="1:12" ht="15" customHeight="1">
      <c r="A533" s="29" t="s">
        <v>12</v>
      </c>
      <c r="B533" s="16"/>
      <c r="C533" s="16"/>
      <c r="D533" s="28" t="s">
        <v>76</v>
      </c>
      <c r="E533" s="200">
        <v>800</v>
      </c>
      <c r="F533" s="41">
        <v>1200</v>
      </c>
      <c r="G533" s="41">
        <v>1195.16</v>
      </c>
      <c r="H533" s="118">
        <f t="shared" si="23"/>
        <v>0.9959666666666668</v>
      </c>
      <c r="I533" s="118">
        <f t="shared" si="22"/>
        <v>9.64157470245185E-05</v>
      </c>
      <c r="J533" s="122"/>
      <c r="L533" s="98"/>
    </row>
    <row r="534" spans="1:12" ht="15" customHeight="1">
      <c r="A534" s="29" t="s">
        <v>388</v>
      </c>
      <c r="B534" s="16"/>
      <c r="C534" s="16"/>
      <c r="D534" s="28" t="s">
        <v>194</v>
      </c>
      <c r="E534" s="200">
        <v>333</v>
      </c>
      <c r="F534" s="41">
        <v>333</v>
      </c>
      <c r="G534" s="41">
        <v>130</v>
      </c>
      <c r="H534" s="118">
        <f t="shared" si="23"/>
        <v>0.39039039039039036</v>
      </c>
      <c r="I534" s="118">
        <f t="shared" si="22"/>
        <v>1.048733819169601E-05</v>
      </c>
      <c r="J534" s="122"/>
      <c r="L534" s="98"/>
    </row>
    <row r="535" spans="1:12" ht="15" customHeight="1">
      <c r="A535" s="29" t="s">
        <v>25</v>
      </c>
      <c r="B535" s="16"/>
      <c r="C535" s="16"/>
      <c r="D535" s="28" t="s">
        <v>81</v>
      </c>
      <c r="E535" s="200">
        <v>200</v>
      </c>
      <c r="F535" s="41">
        <v>200</v>
      </c>
      <c r="G535" s="41">
        <v>0</v>
      </c>
      <c r="H535" s="118">
        <f t="shared" si="23"/>
        <v>0</v>
      </c>
      <c r="I535" s="118">
        <f t="shared" si="22"/>
        <v>0</v>
      </c>
      <c r="J535" s="122"/>
      <c r="L535" s="98"/>
    </row>
    <row r="536" spans="1:12" ht="15" customHeight="1">
      <c r="A536" s="29" t="s">
        <v>316</v>
      </c>
      <c r="B536" s="16"/>
      <c r="C536" s="16"/>
      <c r="D536" s="28" t="s">
        <v>139</v>
      </c>
      <c r="E536" s="200">
        <v>396</v>
      </c>
      <c r="F536" s="41">
        <v>693</v>
      </c>
      <c r="G536" s="41">
        <v>530</v>
      </c>
      <c r="H536" s="118">
        <f t="shared" si="23"/>
        <v>0.7647907647907648</v>
      </c>
      <c r="I536" s="118">
        <f t="shared" si="22"/>
        <v>4.27560710892222E-05</v>
      </c>
      <c r="J536" s="122"/>
      <c r="L536" s="98"/>
    </row>
    <row r="537" spans="1:12" ht="15" customHeight="1">
      <c r="A537" s="29" t="s">
        <v>16</v>
      </c>
      <c r="B537" s="16"/>
      <c r="C537" s="16"/>
      <c r="D537" s="28" t="s">
        <v>374</v>
      </c>
      <c r="E537" s="200">
        <v>200</v>
      </c>
      <c r="F537" s="41">
        <v>200</v>
      </c>
      <c r="G537" s="41">
        <v>0</v>
      </c>
      <c r="H537" s="118">
        <f t="shared" si="23"/>
        <v>0</v>
      </c>
      <c r="I537" s="118">
        <f t="shared" si="22"/>
        <v>0</v>
      </c>
      <c r="J537" s="122"/>
      <c r="L537" s="98"/>
    </row>
    <row r="538" spans="1:12" ht="24.75" customHeight="1">
      <c r="A538" s="29" t="s">
        <v>474</v>
      </c>
      <c r="B538" s="16"/>
      <c r="C538" s="16"/>
      <c r="D538" s="28" t="s">
        <v>193</v>
      </c>
      <c r="E538" s="200">
        <v>600</v>
      </c>
      <c r="F538" s="41">
        <v>303</v>
      </c>
      <c r="G538" s="41">
        <v>0</v>
      </c>
      <c r="H538" s="118">
        <f t="shared" si="23"/>
        <v>0</v>
      </c>
      <c r="I538" s="118">
        <f t="shared" si="22"/>
        <v>0</v>
      </c>
      <c r="J538" s="122"/>
      <c r="L538" s="98"/>
    </row>
    <row r="539" spans="1:12" s="49" customFormat="1" ht="39.75" customHeight="1">
      <c r="A539" s="224" t="s">
        <v>373</v>
      </c>
      <c r="B539" s="16"/>
      <c r="C539" s="80" t="s">
        <v>436</v>
      </c>
      <c r="D539" s="80"/>
      <c r="E539" s="207">
        <f>SUM(E540:E557)</f>
        <v>3054816</v>
      </c>
      <c r="F539" s="207">
        <f>SUM(F540:F557)</f>
        <v>3054816</v>
      </c>
      <c r="G539" s="207">
        <f>SUM(G540:G557)</f>
        <v>1406094.58</v>
      </c>
      <c r="H539" s="90">
        <f t="shared" si="23"/>
        <v>0.4602878143888208</v>
      </c>
      <c r="I539" s="90">
        <f t="shared" si="22"/>
        <v>0.11343222607669817</v>
      </c>
      <c r="J539" s="222"/>
      <c r="L539" s="223"/>
    </row>
    <row r="540" spans="1:12" ht="36.75" customHeight="1">
      <c r="A540" s="245" t="s">
        <v>324</v>
      </c>
      <c r="B540" s="16"/>
      <c r="C540" s="32"/>
      <c r="D540" s="32" t="s">
        <v>244</v>
      </c>
      <c r="E540" s="200">
        <v>2000</v>
      </c>
      <c r="F540" s="41">
        <v>2000</v>
      </c>
      <c r="G540" s="41">
        <v>612</v>
      </c>
      <c r="H540" s="118">
        <f t="shared" si="23"/>
        <v>0.306</v>
      </c>
      <c r="I540" s="118">
        <f t="shared" si="22"/>
        <v>4.937116133321507E-05</v>
      </c>
      <c r="J540" s="122"/>
      <c r="L540" s="98"/>
    </row>
    <row r="541" spans="1:12" ht="15" customHeight="1">
      <c r="A541" s="74" t="s">
        <v>314</v>
      </c>
      <c r="B541" s="16"/>
      <c r="C541" s="32"/>
      <c r="D541" s="32" t="s">
        <v>95</v>
      </c>
      <c r="E541" s="200">
        <v>250</v>
      </c>
      <c r="F541" s="41">
        <v>550</v>
      </c>
      <c r="G541" s="41">
        <v>382.75</v>
      </c>
      <c r="H541" s="118">
        <f t="shared" si="23"/>
        <v>0.6959090909090909</v>
      </c>
      <c r="I541" s="118">
        <f t="shared" si="22"/>
        <v>3.087714379132037E-05</v>
      </c>
      <c r="J541" s="122"/>
      <c r="L541" s="98"/>
    </row>
    <row r="542" spans="1:12" ht="15" customHeight="1">
      <c r="A542" s="31" t="s">
        <v>50</v>
      </c>
      <c r="B542" s="16"/>
      <c r="C542" s="32"/>
      <c r="D542" s="32" t="s">
        <v>145</v>
      </c>
      <c r="E542" s="200">
        <v>2756311</v>
      </c>
      <c r="F542" s="41">
        <v>2756311</v>
      </c>
      <c r="G542" s="41">
        <v>1292027.75</v>
      </c>
      <c r="H542" s="118">
        <f t="shared" si="23"/>
        <v>0.46875252828871633</v>
      </c>
      <c r="I542" s="118">
        <f t="shared" si="22"/>
        <v>0.10423024590235436</v>
      </c>
      <c r="J542" s="122"/>
      <c r="L542" s="98"/>
    </row>
    <row r="543" spans="1:12" ht="15" customHeight="1">
      <c r="A543" s="31" t="s">
        <v>19</v>
      </c>
      <c r="B543" s="16"/>
      <c r="C543" s="32"/>
      <c r="D543" s="32" t="s">
        <v>146</v>
      </c>
      <c r="E543" s="200">
        <v>85782</v>
      </c>
      <c r="F543" s="41">
        <v>85782</v>
      </c>
      <c r="G543" s="41">
        <v>29338.27</v>
      </c>
      <c r="H543" s="118">
        <f t="shared" si="23"/>
        <v>0.3420096290597095</v>
      </c>
      <c r="I543" s="118">
        <f t="shared" si="22"/>
        <v>0.002366771995763764</v>
      </c>
      <c r="J543" s="122"/>
      <c r="L543" s="98"/>
    </row>
    <row r="544" spans="1:12" ht="15" customHeight="1">
      <c r="A544" s="31" t="s">
        <v>20</v>
      </c>
      <c r="B544" s="16"/>
      <c r="C544" s="32"/>
      <c r="D544" s="32" t="s">
        <v>164</v>
      </c>
      <c r="E544" s="200">
        <v>5098</v>
      </c>
      <c r="F544" s="41">
        <v>4748</v>
      </c>
      <c r="G544" s="41">
        <v>4747.03</v>
      </c>
      <c r="H544" s="118">
        <f t="shared" si="23"/>
        <v>0.9997957034540859</v>
      </c>
      <c r="I544" s="118">
        <f t="shared" si="22"/>
        <v>0.00038295160781635934</v>
      </c>
      <c r="J544" s="122"/>
      <c r="L544" s="98"/>
    </row>
    <row r="545" spans="1:12" ht="15" customHeight="1">
      <c r="A545" s="31" t="s">
        <v>21</v>
      </c>
      <c r="B545" s="16"/>
      <c r="C545" s="32"/>
      <c r="D545" s="32" t="s">
        <v>78</v>
      </c>
      <c r="E545" s="200">
        <v>192513</v>
      </c>
      <c r="F545" s="41">
        <v>192453</v>
      </c>
      <c r="G545" s="41">
        <v>74799.46</v>
      </c>
      <c r="H545" s="118">
        <f t="shared" si="23"/>
        <v>0.3886635178459157</v>
      </c>
      <c r="I545" s="118">
        <f t="shared" si="22"/>
        <v>0.006034209489047986</v>
      </c>
      <c r="J545" s="122"/>
      <c r="L545" s="98"/>
    </row>
    <row r="546" spans="1:12" ht="15" customHeight="1">
      <c r="A546" s="31" t="s">
        <v>22</v>
      </c>
      <c r="B546" s="16"/>
      <c r="C546" s="32"/>
      <c r="D546" s="32" t="s">
        <v>79</v>
      </c>
      <c r="E546" s="200">
        <v>256</v>
      </c>
      <c r="F546" s="41">
        <v>256</v>
      </c>
      <c r="G546" s="41">
        <v>0</v>
      </c>
      <c r="H546" s="118">
        <f t="shared" si="23"/>
        <v>0</v>
      </c>
      <c r="I546" s="118">
        <f t="shared" si="22"/>
        <v>0</v>
      </c>
      <c r="J546" s="122"/>
      <c r="L546" s="98"/>
    </row>
    <row r="547" spans="1:12" ht="15" customHeight="1">
      <c r="A547" s="29" t="s">
        <v>159</v>
      </c>
      <c r="B547" s="16"/>
      <c r="C547" s="32"/>
      <c r="D547" s="28" t="s">
        <v>160</v>
      </c>
      <c r="E547" s="200">
        <v>500</v>
      </c>
      <c r="F547" s="41">
        <v>500</v>
      </c>
      <c r="G547" s="41">
        <v>0</v>
      </c>
      <c r="H547" s="118">
        <f t="shared" si="23"/>
        <v>0</v>
      </c>
      <c r="I547" s="118">
        <f t="shared" si="22"/>
        <v>0</v>
      </c>
      <c r="J547" s="122"/>
      <c r="L547" s="98"/>
    </row>
    <row r="548" spans="1:12" ht="15" customHeight="1">
      <c r="A548" s="31" t="s">
        <v>9</v>
      </c>
      <c r="B548" s="16"/>
      <c r="C548" s="32"/>
      <c r="D548" s="32" t="s">
        <v>80</v>
      </c>
      <c r="E548" s="200">
        <v>2721</v>
      </c>
      <c r="F548" s="41">
        <v>2721</v>
      </c>
      <c r="G548" s="41">
        <v>1131.74</v>
      </c>
      <c r="H548" s="118">
        <f t="shared" si="23"/>
        <v>0.4159279676589489</v>
      </c>
      <c r="I548" s="118">
        <f t="shared" si="22"/>
        <v>9.129953942361571E-05</v>
      </c>
      <c r="J548" s="122"/>
      <c r="L548" s="98"/>
    </row>
    <row r="549" spans="1:12" ht="15" customHeight="1">
      <c r="A549" s="29" t="s">
        <v>11</v>
      </c>
      <c r="B549" s="16"/>
      <c r="C549" s="32"/>
      <c r="D549" s="28" t="s">
        <v>132</v>
      </c>
      <c r="E549" s="200">
        <v>250</v>
      </c>
      <c r="F549" s="41">
        <v>250</v>
      </c>
      <c r="G549" s="41">
        <v>0</v>
      </c>
      <c r="H549" s="118">
        <f t="shared" si="23"/>
        <v>0</v>
      </c>
      <c r="I549" s="118">
        <f t="shared" si="22"/>
        <v>0</v>
      </c>
      <c r="J549" s="38"/>
      <c r="L549" s="98"/>
    </row>
    <row r="550" spans="1:12" ht="15" customHeight="1">
      <c r="A550" s="31" t="s">
        <v>45</v>
      </c>
      <c r="B550" s="16"/>
      <c r="C550" s="32"/>
      <c r="D550" s="32" t="s">
        <v>134</v>
      </c>
      <c r="E550" s="200">
        <v>240</v>
      </c>
      <c r="F550" s="41">
        <v>240</v>
      </c>
      <c r="G550" s="41">
        <v>0</v>
      </c>
      <c r="H550" s="118">
        <f t="shared" si="23"/>
        <v>0</v>
      </c>
      <c r="I550" s="118">
        <f t="shared" si="22"/>
        <v>0</v>
      </c>
      <c r="J550" s="38"/>
      <c r="L550" s="98"/>
    </row>
    <row r="551" spans="1:12" ht="15" customHeight="1">
      <c r="A551" s="31" t="s">
        <v>12</v>
      </c>
      <c r="B551" s="16"/>
      <c r="C551" s="32"/>
      <c r="D551" s="32" t="s">
        <v>76</v>
      </c>
      <c r="E551" s="200">
        <v>4000</v>
      </c>
      <c r="F551" s="41">
        <v>4410</v>
      </c>
      <c r="G551" s="41">
        <v>892.77</v>
      </c>
      <c r="H551" s="118">
        <f t="shared" si="23"/>
        <v>0.2024421768707483</v>
      </c>
      <c r="I551" s="118">
        <f t="shared" si="22"/>
        <v>7.202139167231113E-05</v>
      </c>
      <c r="J551" s="38"/>
      <c r="L551" s="98"/>
    </row>
    <row r="552" spans="1:12" ht="15" customHeight="1">
      <c r="A552" s="29" t="s">
        <v>388</v>
      </c>
      <c r="B552" s="16"/>
      <c r="C552" s="32"/>
      <c r="D552" s="28" t="s">
        <v>194</v>
      </c>
      <c r="E552" s="200">
        <v>1320</v>
      </c>
      <c r="F552" s="41">
        <v>1320</v>
      </c>
      <c r="G552" s="41">
        <v>594.37</v>
      </c>
      <c r="H552" s="118">
        <f t="shared" si="23"/>
        <v>0.45028030303030303</v>
      </c>
      <c r="I552" s="118">
        <f t="shared" si="22"/>
        <v>4.79489169307566E-05</v>
      </c>
      <c r="J552" s="122"/>
      <c r="L552" s="98"/>
    </row>
    <row r="553" spans="1:12" ht="15" customHeight="1">
      <c r="A553" s="31" t="s">
        <v>25</v>
      </c>
      <c r="B553" s="16"/>
      <c r="C553" s="32"/>
      <c r="D553" s="32" t="s">
        <v>81</v>
      </c>
      <c r="E553" s="200">
        <v>400</v>
      </c>
      <c r="F553" s="41">
        <v>400</v>
      </c>
      <c r="G553" s="41">
        <v>0</v>
      </c>
      <c r="H553" s="118">
        <f t="shared" si="23"/>
        <v>0</v>
      </c>
      <c r="I553" s="118">
        <f t="shared" si="22"/>
        <v>0</v>
      </c>
      <c r="J553" s="122"/>
      <c r="L553" s="98"/>
    </row>
    <row r="554" spans="1:12" ht="15" customHeight="1">
      <c r="A554" s="29" t="s">
        <v>316</v>
      </c>
      <c r="B554" s="16"/>
      <c r="C554" s="32"/>
      <c r="D554" s="32" t="s">
        <v>139</v>
      </c>
      <c r="E554" s="200">
        <v>2075</v>
      </c>
      <c r="F554" s="41">
        <v>2075</v>
      </c>
      <c r="G554" s="41">
        <v>1566</v>
      </c>
      <c r="H554" s="118">
        <f t="shared" si="23"/>
        <v>0.7546987951807229</v>
      </c>
      <c r="I554" s="118">
        <f t="shared" si="22"/>
        <v>0.00012633208929381501</v>
      </c>
      <c r="J554" s="122"/>
      <c r="L554" s="98"/>
    </row>
    <row r="555" spans="1:12" ht="15" customHeight="1">
      <c r="A555" s="139" t="s">
        <v>16</v>
      </c>
      <c r="B555" s="16"/>
      <c r="C555" s="32"/>
      <c r="D555" s="28" t="s">
        <v>374</v>
      </c>
      <c r="E555" s="200">
        <v>200</v>
      </c>
      <c r="F555" s="41">
        <v>200</v>
      </c>
      <c r="G555" s="41">
        <v>2.44</v>
      </c>
      <c r="H555" s="118">
        <f t="shared" si="23"/>
        <v>0.012199999999999999</v>
      </c>
      <c r="I555" s="118">
        <f t="shared" si="22"/>
        <v>1.9683927067490974E-07</v>
      </c>
      <c r="J555" s="122"/>
      <c r="L555" s="98"/>
    </row>
    <row r="556" spans="1:12" ht="15" customHeight="1" hidden="1">
      <c r="A556" s="74" t="s">
        <v>90</v>
      </c>
      <c r="B556" s="16"/>
      <c r="C556" s="32"/>
      <c r="D556" s="32" t="s">
        <v>91</v>
      </c>
      <c r="E556" s="200">
        <v>0</v>
      </c>
      <c r="F556" s="41">
        <v>0</v>
      </c>
      <c r="G556" s="41">
        <v>0</v>
      </c>
      <c r="H556" s="118" t="e">
        <f t="shared" si="23"/>
        <v>#DIV/0!</v>
      </c>
      <c r="I556" s="118">
        <f t="shared" si="22"/>
        <v>0</v>
      </c>
      <c r="J556" s="122"/>
      <c r="L556" s="98"/>
    </row>
    <row r="557" spans="1:12" ht="23.25" customHeight="1">
      <c r="A557" s="74" t="s">
        <v>522</v>
      </c>
      <c r="B557" s="16"/>
      <c r="C557" s="32"/>
      <c r="D557" s="28" t="s">
        <v>193</v>
      </c>
      <c r="E557" s="200">
        <v>900</v>
      </c>
      <c r="F557" s="41">
        <v>600</v>
      </c>
      <c r="G557" s="41">
        <v>0</v>
      </c>
      <c r="H557" s="118">
        <f t="shared" si="23"/>
        <v>0</v>
      </c>
      <c r="I557" s="118">
        <f t="shared" si="22"/>
        <v>0</v>
      </c>
      <c r="J557" s="122"/>
      <c r="L557" s="98"/>
    </row>
    <row r="558" spans="1:12" s="89" customFormat="1" ht="15" customHeight="1">
      <c r="A558" s="87" t="s">
        <v>494</v>
      </c>
      <c r="B558" s="125"/>
      <c r="C558" s="120" t="s">
        <v>445</v>
      </c>
      <c r="D558" s="120"/>
      <c r="E558" s="202">
        <f>E559</f>
        <v>0</v>
      </c>
      <c r="F558" s="202">
        <f>F559</f>
        <v>151.46</v>
      </c>
      <c r="G558" s="202">
        <f>G559</f>
        <v>8.22</v>
      </c>
      <c r="H558" s="90">
        <f t="shared" si="23"/>
        <v>0.05427175491879044</v>
      </c>
      <c r="I558" s="90">
        <f aca="true" t="shared" si="24" ref="I558:I619">G558/12395900.43</f>
        <v>6.631224610441632E-07</v>
      </c>
      <c r="J558" s="122"/>
      <c r="L558" s="128"/>
    </row>
    <row r="559" spans="1:12" ht="15" customHeight="1">
      <c r="A559" s="29" t="s">
        <v>9</v>
      </c>
      <c r="B559" s="16"/>
      <c r="C559" s="32"/>
      <c r="D559" s="28" t="s">
        <v>80</v>
      </c>
      <c r="E559" s="200">
        <v>0</v>
      </c>
      <c r="F559" s="41">
        <v>151.46</v>
      </c>
      <c r="G559" s="41">
        <v>8.22</v>
      </c>
      <c r="H559" s="118">
        <f t="shared" si="23"/>
        <v>0.05427175491879044</v>
      </c>
      <c r="I559" s="118">
        <f t="shared" si="24"/>
        <v>6.631224610441632E-07</v>
      </c>
      <c r="J559" s="122"/>
      <c r="L559" s="98"/>
    </row>
    <row r="560" spans="1:12" s="89" customFormat="1" ht="15" customHeight="1">
      <c r="A560" s="87" t="s">
        <v>365</v>
      </c>
      <c r="B560" s="125"/>
      <c r="C560" s="125" t="s">
        <v>475</v>
      </c>
      <c r="D560" s="120"/>
      <c r="E560" s="202">
        <f>SUM(E564:E567)</f>
        <v>18700</v>
      </c>
      <c r="F560" s="202">
        <f>SUM(F561,F562,F563,F564:F567)</f>
        <v>25520</v>
      </c>
      <c r="G560" s="202">
        <f>SUM(G564:G567)</f>
        <v>5765</v>
      </c>
      <c r="H560" s="90">
        <f t="shared" si="23"/>
        <v>0.2259012539184953</v>
      </c>
      <c r="I560" s="90">
        <f t="shared" si="24"/>
        <v>0.0004650731128855962</v>
      </c>
      <c r="J560" s="122"/>
      <c r="L560" s="128"/>
    </row>
    <row r="561" spans="1:12" s="89" customFormat="1" ht="15" customHeight="1">
      <c r="A561" s="29" t="s">
        <v>19</v>
      </c>
      <c r="B561" s="125"/>
      <c r="C561" s="125"/>
      <c r="D561" s="28" t="s">
        <v>146</v>
      </c>
      <c r="E561" s="200">
        <v>0</v>
      </c>
      <c r="F561" s="200">
        <v>4560</v>
      </c>
      <c r="G561" s="200">
        <v>0</v>
      </c>
      <c r="H561" s="118">
        <f t="shared" si="23"/>
        <v>0</v>
      </c>
      <c r="I561" s="118">
        <f t="shared" si="24"/>
        <v>0</v>
      </c>
      <c r="J561" s="122"/>
      <c r="L561" s="128"/>
    </row>
    <row r="562" spans="1:12" s="89" customFormat="1" ht="15" customHeight="1">
      <c r="A562" s="29" t="s">
        <v>21</v>
      </c>
      <c r="B562" s="125"/>
      <c r="C562" s="125"/>
      <c r="D562" s="28" t="s">
        <v>78</v>
      </c>
      <c r="E562" s="200">
        <v>0</v>
      </c>
      <c r="F562" s="200">
        <v>785</v>
      </c>
      <c r="G562" s="200">
        <v>0</v>
      </c>
      <c r="H562" s="118">
        <f t="shared" si="23"/>
        <v>0</v>
      </c>
      <c r="I562" s="118">
        <f t="shared" si="24"/>
        <v>0</v>
      </c>
      <c r="J562" s="122"/>
      <c r="L562" s="128"/>
    </row>
    <row r="563" spans="1:12" s="89" customFormat="1" ht="15" customHeight="1">
      <c r="A563" s="29" t="s">
        <v>22</v>
      </c>
      <c r="B563" s="125"/>
      <c r="C563" s="125"/>
      <c r="D563" s="28" t="s">
        <v>79</v>
      </c>
      <c r="E563" s="200">
        <v>0</v>
      </c>
      <c r="F563" s="200">
        <v>111</v>
      </c>
      <c r="G563" s="200">
        <v>0</v>
      </c>
      <c r="H563" s="118">
        <f t="shared" si="23"/>
        <v>0</v>
      </c>
      <c r="I563" s="118">
        <f t="shared" si="24"/>
        <v>0</v>
      </c>
      <c r="J563" s="122"/>
      <c r="L563" s="128"/>
    </row>
    <row r="564" spans="1:12" ht="15" customHeight="1">
      <c r="A564" s="19" t="s">
        <v>159</v>
      </c>
      <c r="B564" s="16"/>
      <c r="C564" s="16"/>
      <c r="D564" s="28" t="s">
        <v>160</v>
      </c>
      <c r="E564" s="200">
        <v>18400</v>
      </c>
      <c r="F564" s="41">
        <v>18400</v>
      </c>
      <c r="G564" s="41">
        <v>5765</v>
      </c>
      <c r="H564" s="118">
        <f t="shared" si="23"/>
        <v>0.31331521739130436</v>
      </c>
      <c r="I564" s="118">
        <f t="shared" si="24"/>
        <v>0.0004650731128855962</v>
      </c>
      <c r="J564" s="122"/>
      <c r="L564" s="98"/>
    </row>
    <row r="565" spans="1:12" ht="15" customHeight="1">
      <c r="A565" s="19" t="s">
        <v>9</v>
      </c>
      <c r="B565" s="16"/>
      <c r="C565" s="16"/>
      <c r="D565" s="28" t="s">
        <v>80</v>
      </c>
      <c r="E565" s="200">
        <v>300</v>
      </c>
      <c r="F565" s="41">
        <v>550</v>
      </c>
      <c r="G565" s="41">
        <v>0</v>
      </c>
      <c r="H565" s="118">
        <f t="shared" si="23"/>
        <v>0</v>
      </c>
      <c r="I565" s="118">
        <f t="shared" si="24"/>
        <v>0</v>
      </c>
      <c r="J565" s="122"/>
      <c r="L565" s="98"/>
    </row>
    <row r="566" spans="1:12" ht="15" customHeight="1">
      <c r="A566" s="19" t="s">
        <v>12</v>
      </c>
      <c r="B566" s="16"/>
      <c r="C566" s="16"/>
      <c r="D566" s="28" t="s">
        <v>76</v>
      </c>
      <c r="E566" s="200">
        <v>0</v>
      </c>
      <c r="F566" s="41">
        <v>1114</v>
      </c>
      <c r="G566" s="41">
        <v>0</v>
      </c>
      <c r="H566" s="118">
        <f t="shared" si="23"/>
        <v>0</v>
      </c>
      <c r="I566" s="118">
        <f t="shared" si="24"/>
        <v>0</v>
      </c>
      <c r="J566" s="122"/>
      <c r="L566" s="98"/>
    </row>
    <row r="567" spans="1:12" ht="15" customHeight="1" hidden="1">
      <c r="A567" s="19" t="s">
        <v>25</v>
      </c>
      <c r="B567" s="16"/>
      <c r="C567" s="16"/>
      <c r="D567" s="28" t="s">
        <v>81</v>
      </c>
      <c r="E567" s="200">
        <v>0</v>
      </c>
      <c r="F567" s="41">
        <v>0</v>
      </c>
      <c r="G567" s="41">
        <v>0</v>
      </c>
      <c r="H567" s="118" t="e">
        <f t="shared" si="23"/>
        <v>#DIV/0!</v>
      </c>
      <c r="I567" s="118">
        <f t="shared" si="24"/>
        <v>0</v>
      </c>
      <c r="J567" s="122"/>
      <c r="L567" s="98"/>
    </row>
    <row r="568" spans="1:12" s="89" customFormat="1" ht="15" customHeight="1">
      <c r="A568" s="87" t="s">
        <v>339</v>
      </c>
      <c r="B568" s="125"/>
      <c r="C568" s="125" t="s">
        <v>476</v>
      </c>
      <c r="D568" s="120"/>
      <c r="E568" s="202">
        <f>E569</f>
        <v>1500</v>
      </c>
      <c r="F568" s="202">
        <f>F569</f>
        <v>1500</v>
      </c>
      <c r="G568" s="202">
        <f>G569</f>
        <v>0</v>
      </c>
      <c r="H568" s="90">
        <f t="shared" si="23"/>
        <v>0</v>
      </c>
      <c r="I568" s="90">
        <f t="shared" si="24"/>
        <v>0</v>
      </c>
      <c r="J568" s="122"/>
      <c r="L568" s="128"/>
    </row>
    <row r="569" spans="1:12" ht="15" customHeight="1">
      <c r="A569" s="133" t="s">
        <v>50</v>
      </c>
      <c r="B569" s="16"/>
      <c r="C569" s="32"/>
      <c r="D569" s="28" t="s">
        <v>145</v>
      </c>
      <c r="E569" s="200">
        <v>1500</v>
      </c>
      <c r="F569" s="41">
        <v>1500</v>
      </c>
      <c r="G569" s="41">
        <v>0</v>
      </c>
      <c r="H569" s="118">
        <f t="shared" si="23"/>
        <v>0</v>
      </c>
      <c r="I569" s="118">
        <f t="shared" si="24"/>
        <v>0</v>
      </c>
      <c r="J569" s="122"/>
      <c r="L569" s="98"/>
    </row>
    <row r="570" spans="1:12" s="89" customFormat="1" ht="15" customHeight="1">
      <c r="A570" s="138" t="s">
        <v>477</v>
      </c>
      <c r="B570" s="125"/>
      <c r="C570" s="120" t="s">
        <v>478</v>
      </c>
      <c r="D570" s="120"/>
      <c r="E570" s="202">
        <f>E585</f>
        <v>40000</v>
      </c>
      <c r="F570" s="202">
        <f>SUM(F571,F572,F573,F574,F575,F576,F577,F578,F579,F580,F581,F582,F583,F584,F585,F586,F587,F588,F589)</f>
        <v>184202</v>
      </c>
      <c r="G570" s="202">
        <f>SUM(G571:G589)</f>
        <v>36976.149999999994</v>
      </c>
      <c r="H570" s="90">
        <f t="shared" si="23"/>
        <v>0.2007369626822727</v>
      </c>
      <c r="I570" s="90">
        <f t="shared" si="24"/>
        <v>0.0029829337698221567</v>
      </c>
      <c r="J570" s="122"/>
      <c r="L570" s="128"/>
    </row>
    <row r="571" spans="1:12" s="89" customFormat="1" ht="15" customHeight="1">
      <c r="A571" s="133" t="s">
        <v>19</v>
      </c>
      <c r="B571" s="125"/>
      <c r="C571" s="120"/>
      <c r="D571" s="28" t="s">
        <v>463</v>
      </c>
      <c r="E571" s="200">
        <v>0</v>
      </c>
      <c r="F571" s="200">
        <v>71852</v>
      </c>
      <c r="G571" s="200">
        <v>23287.57</v>
      </c>
      <c r="H571" s="118">
        <f>G571/F571</f>
        <v>0.3241046874130156</v>
      </c>
      <c r="I571" s="118">
        <f t="shared" si="24"/>
        <v>0.0018786509404061097</v>
      </c>
      <c r="J571" s="122"/>
      <c r="L571" s="128"/>
    </row>
    <row r="572" spans="1:12" s="89" customFormat="1" ht="15" customHeight="1">
      <c r="A572" s="133" t="s">
        <v>182</v>
      </c>
      <c r="B572" s="125"/>
      <c r="C572" s="120"/>
      <c r="D572" s="28" t="s">
        <v>459</v>
      </c>
      <c r="E572" s="200">
        <v>0</v>
      </c>
      <c r="F572" s="200">
        <v>5917</v>
      </c>
      <c r="G572" s="200">
        <v>1917.76</v>
      </c>
      <c r="H572" s="118">
        <f aca="true" t="shared" si="25" ref="H572:H589">G572/F572</f>
        <v>0.3241101909751563</v>
      </c>
      <c r="I572" s="118">
        <f t="shared" si="24"/>
        <v>0.00015470921300389954</v>
      </c>
      <c r="J572" s="122"/>
      <c r="L572" s="128"/>
    </row>
    <row r="573" spans="1:12" s="89" customFormat="1" ht="15" customHeight="1">
      <c r="A573" s="133" t="s">
        <v>21</v>
      </c>
      <c r="B573" s="125"/>
      <c r="C573" s="120"/>
      <c r="D573" s="28" t="s">
        <v>464</v>
      </c>
      <c r="E573" s="200">
        <v>0</v>
      </c>
      <c r="F573" s="200">
        <v>14335</v>
      </c>
      <c r="G573" s="200">
        <v>3103.76</v>
      </c>
      <c r="H573" s="118">
        <f t="shared" si="25"/>
        <v>0.2165162190442972</v>
      </c>
      <c r="I573" s="118">
        <f t="shared" si="24"/>
        <v>0.0002503860060450647</v>
      </c>
      <c r="J573" s="122"/>
      <c r="L573" s="128"/>
    </row>
    <row r="574" spans="1:12" s="89" customFormat="1" ht="15" customHeight="1">
      <c r="A574" s="133" t="s">
        <v>21</v>
      </c>
      <c r="B574" s="125"/>
      <c r="C574" s="120"/>
      <c r="D574" s="28" t="s">
        <v>460</v>
      </c>
      <c r="E574" s="200">
        <v>0</v>
      </c>
      <c r="F574" s="200">
        <v>1181</v>
      </c>
      <c r="G574" s="200">
        <v>255.59</v>
      </c>
      <c r="H574" s="118">
        <f t="shared" si="25"/>
        <v>0.21641828958509737</v>
      </c>
      <c r="I574" s="118">
        <f t="shared" si="24"/>
        <v>2.0618913603196796E-05</v>
      </c>
      <c r="J574" s="122"/>
      <c r="L574" s="128"/>
    </row>
    <row r="575" spans="1:12" s="89" customFormat="1" ht="15" customHeight="1">
      <c r="A575" s="133" t="s">
        <v>22</v>
      </c>
      <c r="B575" s="125"/>
      <c r="C575" s="120"/>
      <c r="D575" s="28" t="s">
        <v>465</v>
      </c>
      <c r="E575" s="200">
        <v>0</v>
      </c>
      <c r="F575" s="200">
        <v>1760</v>
      </c>
      <c r="G575" s="200">
        <v>441.6</v>
      </c>
      <c r="H575" s="118">
        <f t="shared" si="25"/>
        <v>0.2509090909090909</v>
      </c>
      <c r="I575" s="118">
        <f t="shared" si="24"/>
        <v>3.562468111886891E-05</v>
      </c>
      <c r="J575" s="122"/>
      <c r="L575" s="128"/>
    </row>
    <row r="576" spans="1:12" s="89" customFormat="1" ht="15" customHeight="1">
      <c r="A576" s="133" t="s">
        <v>22</v>
      </c>
      <c r="B576" s="125"/>
      <c r="C576" s="120"/>
      <c r="D576" s="28" t="s">
        <v>461</v>
      </c>
      <c r="E576" s="200">
        <v>0</v>
      </c>
      <c r="F576" s="200">
        <v>145</v>
      </c>
      <c r="G576" s="200">
        <v>36.37</v>
      </c>
      <c r="H576" s="118">
        <f t="shared" si="25"/>
        <v>0.25082758620689655</v>
      </c>
      <c r="I576" s="118">
        <f t="shared" si="24"/>
        <v>2.9340345387075685E-06</v>
      </c>
      <c r="J576" s="122"/>
      <c r="L576" s="128"/>
    </row>
    <row r="577" spans="1:12" s="89" customFormat="1" ht="15" customHeight="1">
      <c r="A577" s="133" t="s">
        <v>195</v>
      </c>
      <c r="B577" s="125"/>
      <c r="C577" s="120"/>
      <c r="D577" s="28" t="s">
        <v>484</v>
      </c>
      <c r="E577" s="200">
        <v>0</v>
      </c>
      <c r="F577" s="200">
        <v>11429</v>
      </c>
      <c r="G577" s="200">
        <v>1675.52</v>
      </c>
      <c r="H577" s="118">
        <f t="shared" si="25"/>
        <v>0.14660250240615977</v>
      </c>
      <c r="I577" s="118">
        <f t="shared" si="24"/>
        <v>0.00013516726836115768</v>
      </c>
      <c r="J577" s="122"/>
      <c r="L577" s="128"/>
    </row>
    <row r="578" spans="1:12" s="89" customFormat="1" ht="15" customHeight="1">
      <c r="A578" s="133" t="s">
        <v>195</v>
      </c>
      <c r="B578" s="125"/>
      <c r="C578" s="120"/>
      <c r="D578" s="28" t="s">
        <v>526</v>
      </c>
      <c r="E578" s="200">
        <v>0</v>
      </c>
      <c r="F578" s="200">
        <v>941</v>
      </c>
      <c r="G578" s="200">
        <v>137.98</v>
      </c>
      <c r="H578" s="118">
        <f t="shared" si="25"/>
        <v>0.14663124335812963</v>
      </c>
      <c r="I578" s="118">
        <f t="shared" si="24"/>
        <v>1.1131099413001657E-05</v>
      </c>
      <c r="J578" s="122"/>
      <c r="L578" s="128"/>
    </row>
    <row r="579" spans="1:12" s="89" customFormat="1" ht="15" customHeight="1">
      <c r="A579" s="133" t="s">
        <v>9</v>
      </c>
      <c r="B579" s="125"/>
      <c r="C579" s="120"/>
      <c r="D579" s="28" t="s">
        <v>466</v>
      </c>
      <c r="E579" s="200">
        <v>0</v>
      </c>
      <c r="F579" s="200">
        <v>9978</v>
      </c>
      <c r="G579" s="200">
        <v>2139.79</v>
      </c>
      <c r="H579" s="118">
        <f t="shared" si="25"/>
        <v>0.21445079174183201</v>
      </c>
      <c r="I579" s="118">
        <f t="shared" si="24"/>
        <v>0.0001726207799169939</v>
      </c>
      <c r="J579" s="122"/>
      <c r="L579" s="128"/>
    </row>
    <row r="580" spans="1:12" s="89" customFormat="1" ht="15" customHeight="1">
      <c r="A580" s="133" t="s">
        <v>9</v>
      </c>
      <c r="B580" s="125"/>
      <c r="C580" s="120"/>
      <c r="D580" s="28" t="s">
        <v>467</v>
      </c>
      <c r="E580" s="200">
        <v>0</v>
      </c>
      <c r="F580" s="200">
        <v>822</v>
      </c>
      <c r="G580" s="200">
        <v>176.21</v>
      </c>
      <c r="H580" s="118">
        <f t="shared" si="25"/>
        <v>0.214367396593674</v>
      </c>
      <c r="I580" s="118">
        <f t="shared" si="24"/>
        <v>1.4215183559682725E-05</v>
      </c>
      <c r="J580" s="122"/>
      <c r="L580" s="128"/>
    </row>
    <row r="581" spans="1:12" s="89" customFormat="1" ht="15" customHeight="1">
      <c r="A581" s="133" t="s">
        <v>45</v>
      </c>
      <c r="B581" s="125"/>
      <c r="C581" s="120"/>
      <c r="D581" s="28" t="s">
        <v>527</v>
      </c>
      <c r="E581" s="200">
        <v>0</v>
      </c>
      <c r="F581" s="200">
        <v>61</v>
      </c>
      <c r="G581" s="200">
        <v>60.05</v>
      </c>
      <c r="H581" s="118">
        <f t="shared" si="25"/>
        <v>0.9844262295081967</v>
      </c>
      <c r="I581" s="118">
        <f t="shared" si="24"/>
        <v>4.844343526241119E-06</v>
      </c>
      <c r="J581" s="122"/>
      <c r="L581" s="128"/>
    </row>
    <row r="582" spans="1:12" s="89" customFormat="1" ht="15" customHeight="1">
      <c r="A582" s="133" t="s">
        <v>45</v>
      </c>
      <c r="B582" s="125"/>
      <c r="C582" s="120"/>
      <c r="D582" s="28" t="s">
        <v>528</v>
      </c>
      <c r="E582" s="200">
        <v>0</v>
      </c>
      <c r="F582" s="200">
        <v>5</v>
      </c>
      <c r="G582" s="200">
        <v>4.95</v>
      </c>
      <c r="H582" s="118">
        <f t="shared" si="25"/>
        <v>0.99</v>
      </c>
      <c r="I582" s="118">
        <f t="shared" si="24"/>
        <v>3.993255696068866E-07</v>
      </c>
      <c r="J582" s="122"/>
      <c r="L582" s="128"/>
    </row>
    <row r="583" spans="1:12" s="89" customFormat="1" ht="15" customHeight="1">
      <c r="A583" s="133" t="s">
        <v>12</v>
      </c>
      <c r="B583" s="125"/>
      <c r="C583" s="120"/>
      <c r="D583" s="28" t="s">
        <v>254</v>
      </c>
      <c r="E583" s="200">
        <v>0</v>
      </c>
      <c r="F583" s="200">
        <v>22268</v>
      </c>
      <c r="G583" s="200">
        <v>2464.13</v>
      </c>
      <c r="H583" s="118">
        <f t="shared" si="25"/>
        <v>0.11065789473684211</v>
      </c>
      <c r="I583" s="118">
        <f t="shared" si="24"/>
        <v>0.00019878588198695302</v>
      </c>
      <c r="J583" s="122"/>
      <c r="L583" s="128"/>
    </row>
    <row r="584" spans="1:12" s="89" customFormat="1" ht="15" customHeight="1">
      <c r="A584" s="133" t="s">
        <v>12</v>
      </c>
      <c r="B584" s="125"/>
      <c r="C584" s="120"/>
      <c r="D584" s="28" t="s">
        <v>236</v>
      </c>
      <c r="E584" s="200">
        <v>0</v>
      </c>
      <c r="F584" s="200">
        <v>1834</v>
      </c>
      <c r="G584" s="200">
        <v>202.87</v>
      </c>
      <c r="H584" s="118">
        <f t="shared" si="25"/>
        <v>0.11061613958560523</v>
      </c>
      <c r="I584" s="118">
        <f t="shared" si="24"/>
        <v>1.6365894607302846E-05</v>
      </c>
      <c r="J584" s="122"/>
      <c r="L584" s="128"/>
    </row>
    <row r="585" spans="1:12" ht="15" customHeight="1">
      <c r="A585" s="133" t="s">
        <v>26</v>
      </c>
      <c r="B585" s="16"/>
      <c r="C585" s="32"/>
      <c r="D585" s="28" t="s">
        <v>89</v>
      </c>
      <c r="E585" s="200">
        <v>40000</v>
      </c>
      <c r="F585" s="41">
        <v>40000</v>
      </c>
      <c r="G585" s="41">
        <v>0</v>
      </c>
      <c r="H585" s="118">
        <f t="shared" si="25"/>
        <v>0</v>
      </c>
      <c r="I585" s="118">
        <f t="shared" si="24"/>
        <v>0</v>
      </c>
      <c r="J585" s="122"/>
      <c r="L585" s="98"/>
    </row>
    <row r="586" spans="1:12" ht="15" customHeight="1">
      <c r="A586" s="133" t="s">
        <v>26</v>
      </c>
      <c r="B586" s="16"/>
      <c r="C586" s="32"/>
      <c r="D586" s="28" t="s">
        <v>529</v>
      </c>
      <c r="E586" s="200">
        <v>0</v>
      </c>
      <c r="F586" s="41">
        <v>277</v>
      </c>
      <c r="G586" s="41">
        <v>38.8</v>
      </c>
      <c r="H586" s="118">
        <f t="shared" si="25"/>
        <v>0.14007220216606497</v>
      </c>
      <c r="I586" s="118">
        <f t="shared" si="24"/>
        <v>3.13006709106004E-06</v>
      </c>
      <c r="J586" s="122"/>
      <c r="L586" s="98"/>
    </row>
    <row r="587" spans="1:12" ht="15" customHeight="1">
      <c r="A587" s="133" t="s">
        <v>26</v>
      </c>
      <c r="B587" s="16"/>
      <c r="C587" s="32"/>
      <c r="D587" s="28" t="s">
        <v>530</v>
      </c>
      <c r="E587" s="200">
        <v>0</v>
      </c>
      <c r="F587" s="41">
        <v>23</v>
      </c>
      <c r="G587" s="41">
        <v>3.2</v>
      </c>
      <c r="H587" s="118">
        <f t="shared" si="25"/>
        <v>0.1391304347826087</v>
      </c>
      <c r="I587" s="118">
        <f t="shared" si="24"/>
        <v>2.581498631802095E-07</v>
      </c>
      <c r="J587" s="122"/>
      <c r="L587" s="98"/>
    </row>
    <row r="588" spans="1:12" ht="15" customHeight="1">
      <c r="A588" s="133" t="s">
        <v>316</v>
      </c>
      <c r="B588" s="16"/>
      <c r="C588" s="32"/>
      <c r="D588" s="28" t="s">
        <v>468</v>
      </c>
      <c r="E588" s="200">
        <v>0</v>
      </c>
      <c r="F588" s="41">
        <v>1270</v>
      </c>
      <c r="G588" s="41">
        <v>951.63</v>
      </c>
      <c r="H588" s="118">
        <f t="shared" si="25"/>
        <v>0.7493149606299213</v>
      </c>
      <c r="I588" s="118">
        <f t="shared" si="24"/>
        <v>7.676973571818212E-05</v>
      </c>
      <c r="J588" s="122"/>
      <c r="L588" s="98"/>
    </row>
    <row r="589" spans="1:12" ht="15" customHeight="1">
      <c r="A589" s="133" t="s">
        <v>316</v>
      </c>
      <c r="B589" s="16"/>
      <c r="C589" s="32"/>
      <c r="D589" s="28" t="s">
        <v>469</v>
      </c>
      <c r="E589" s="200">
        <v>0</v>
      </c>
      <c r="F589" s="41">
        <v>104</v>
      </c>
      <c r="G589" s="41">
        <v>78.37</v>
      </c>
      <c r="H589" s="118">
        <f t="shared" si="25"/>
        <v>0.7535576923076923</v>
      </c>
      <c r="I589" s="118">
        <f t="shared" si="24"/>
        <v>6.322251492947818E-06</v>
      </c>
      <c r="J589" s="122"/>
      <c r="L589" s="98"/>
    </row>
    <row r="590" spans="1:12" s="49" customFormat="1" ht="19.5" customHeight="1">
      <c r="A590" s="225" t="s">
        <v>58</v>
      </c>
      <c r="B590" s="80" t="s">
        <v>479</v>
      </c>
      <c r="C590" s="80"/>
      <c r="D590" s="80"/>
      <c r="E590" s="207">
        <f>E591+E604+E617+E623+E638+E644+E646</f>
        <v>7231361</v>
      </c>
      <c r="F590" s="207">
        <f>F591+F604+F617+F623+F638+F644+F646+F634+F636</f>
        <v>8761463.32</v>
      </c>
      <c r="G590" s="207">
        <f>SUM(G591,G604,G617,G623,G634,G636,G638,G644,G646)</f>
        <v>2342559.38</v>
      </c>
      <c r="H590" s="30">
        <f t="shared" si="23"/>
        <v>0.26737079120705604</v>
      </c>
      <c r="I590" s="30">
        <f t="shared" si="24"/>
        <v>0.18897855732453636</v>
      </c>
      <c r="J590" s="222"/>
      <c r="L590" s="223"/>
    </row>
    <row r="591" spans="1:14" ht="15" customHeight="1">
      <c r="A591" s="131" t="s">
        <v>84</v>
      </c>
      <c r="B591" s="125"/>
      <c r="C591" s="125" t="s">
        <v>85</v>
      </c>
      <c r="D591" s="125"/>
      <c r="E591" s="205">
        <f>SUM(E592:E603)</f>
        <v>5387756</v>
      </c>
      <c r="F591" s="127">
        <f>SUM(F592:F603)</f>
        <v>6926571</v>
      </c>
      <c r="G591" s="127">
        <f>SUM(G592:G603)</f>
        <v>1522071.0799999998</v>
      </c>
      <c r="H591" s="90">
        <f t="shared" si="23"/>
        <v>0.21974380685623518</v>
      </c>
      <c r="I591" s="90">
        <f t="shared" si="24"/>
        <v>0.12278826282892302</v>
      </c>
      <c r="J591" s="122"/>
      <c r="L591" s="98"/>
      <c r="M591" s="94"/>
      <c r="N591" s="94"/>
    </row>
    <row r="592" spans="1:14" ht="12.75">
      <c r="A592" s="29" t="s">
        <v>27</v>
      </c>
      <c r="B592" s="125"/>
      <c r="C592" s="125"/>
      <c r="D592" s="28" t="s">
        <v>78</v>
      </c>
      <c r="E592" s="200">
        <v>516</v>
      </c>
      <c r="F592" s="41">
        <v>516</v>
      </c>
      <c r="G592" s="41">
        <v>0</v>
      </c>
      <c r="H592" s="118">
        <v>0</v>
      </c>
      <c r="I592" s="118">
        <f t="shared" si="24"/>
        <v>0</v>
      </c>
      <c r="J592" s="122"/>
      <c r="L592" s="98"/>
      <c r="M592" s="94"/>
      <c r="N592" s="94"/>
    </row>
    <row r="593" spans="1:14" ht="12.75">
      <c r="A593" s="29" t="s">
        <v>22</v>
      </c>
      <c r="B593" s="125"/>
      <c r="C593" s="125"/>
      <c r="D593" s="28" t="s">
        <v>79</v>
      </c>
      <c r="E593" s="200">
        <v>74</v>
      </c>
      <c r="F593" s="41">
        <v>74</v>
      </c>
      <c r="G593" s="41">
        <v>0</v>
      </c>
      <c r="H593" s="118">
        <v>0</v>
      </c>
      <c r="I593" s="118">
        <f t="shared" si="24"/>
        <v>0</v>
      </c>
      <c r="J593" s="122"/>
      <c r="L593" s="98"/>
      <c r="M593" s="94"/>
      <c r="N593" s="94"/>
    </row>
    <row r="594" spans="1:14" ht="12.75">
      <c r="A594" s="23" t="s">
        <v>159</v>
      </c>
      <c r="B594" s="21"/>
      <c r="C594" s="21"/>
      <c r="D594" s="21" t="s">
        <v>160</v>
      </c>
      <c r="E594" s="206">
        <v>3000</v>
      </c>
      <c r="F594" s="40">
        <v>3000</v>
      </c>
      <c r="G594" s="40">
        <v>0</v>
      </c>
      <c r="H594" s="118">
        <v>0</v>
      </c>
      <c r="I594" s="118">
        <f t="shared" si="24"/>
        <v>0</v>
      </c>
      <c r="J594" s="42"/>
      <c r="L594" s="98"/>
      <c r="M594" s="94"/>
      <c r="N594" s="94"/>
    </row>
    <row r="595" spans="1:14" ht="12.75">
      <c r="A595" s="23" t="s">
        <v>9</v>
      </c>
      <c r="B595" s="21"/>
      <c r="C595" s="21"/>
      <c r="D595" s="21" t="s">
        <v>80</v>
      </c>
      <c r="E595" s="206">
        <v>6410</v>
      </c>
      <c r="F595" s="40">
        <v>4410</v>
      </c>
      <c r="G595" s="40">
        <v>308.73</v>
      </c>
      <c r="H595" s="118">
        <f t="shared" si="23"/>
        <v>0.07000680272108845</v>
      </c>
      <c r="I595" s="118">
        <f t="shared" si="24"/>
        <v>2.490581476863315E-05</v>
      </c>
      <c r="J595" s="42"/>
      <c r="L595" s="94"/>
      <c r="M595" s="94"/>
      <c r="N595" s="94"/>
    </row>
    <row r="596" spans="1:10" s="89" customFormat="1" ht="12.75">
      <c r="A596" s="23" t="s">
        <v>11</v>
      </c>
      <c r="B596" s="21"/>
      <c r="C596" s="21"/>
      <c r="D596" s="21" t="s">
        <v>132</v>
      </c>
      <c r="E596" s="206">
        <v>5000</v>
      </c>
      <c r="F596" s="40">
        <v>30000</v>
      </c>
      <c r="G596" s="40">
        <v>18676.59</v>
      </c>
      <c r="H596" s="118">
        <f t="shared" si="23"/>
        <v>0.622553</v>
      </c>
      <c r="I596" s="118">
        <f t="shared" si="24"/>
        <v>0.0015066747353665215</v>
      </c>
      <c r="J596" s="42"/>
    </row>
    <row r="597" spans="1:14" ht="12.75">
      <c r="A597" s="23" t="s">
        <v>12</v>
      </c>
      <c r="B597" s="21"/>
      <c r="C597" s="21"/>
      <c r="D597" s="21" t="s">
        <v>76</v>
      </c>
      <c r="E597" s="206">
        <v>10000</v>
      </c>
      <c r="F597" s="40">
        <v>23000</v>
      </c>
      <c r="G597" s="40">
        <v>3370.2</v>
      </c>
      <c r="H597" s="118">
        <f t="shared" si="23"/>
        <v>0.1465304347826087</v>
      </c>
      <c r="I597" s="118">
        <f t="shared" si="24"/>
        <v>0.0002718802090281069</v>
      </c>
      <c r="J597" s="42"/>
      <c r="L597" s="94"/>
      <c r="M597" s="94"/>
      <c r="N597" s="94"/>
    </row>
    <row r="598" spans="1:14" ht="25.5" hidden="1">
      <c r="A598" s="23" t="s">
        <v>323</v>
      </c>
      <c r="B598" s="21"/>
      <c r="C598" s="21"/>
      <c r="D598" s="21" t="s">
        <v>172</v>
      </c>
      <c r="E598" s="206">
        <v>0</v>
      </c>
      <c r="F598" s="40">
        <v>0</v>
      </c>
      <c r="G598" s="40">
        <v>0</v>
      </c>
      <c r="H598" s="118" t="e">
        <f t="shared" si="23"/>
        <v>#DIV/0!</v>
      </c>
      <c r="I598" s="118">
        <f t="shared" si="24"/>
        <v>0</v>
      </c>
      <c r="J598" s="42"/>
      <c r="L598" s="94"/>
      <c r="M598" s="94"/>
      <c r="N598" s="94"/>
    </row>
    <row r="599" spans="1:14" ht="12.75">
      <c r="A599" s="23" t="s">
        <v>26</v>
      </c>
      <c r="B599" s="21"/>
      <c r="C599" s="21"/>
      <c r="D599" s="21" t="s">
        <v>89</v>
      </c>
      <c r="E599" s="206">
        <v>13000</v>
      </c>
      <c r="F599" s="40">
        <v>20000</v>
      </c>
      <c r="G599" s="40">
        <v>19159</v>
      </c>
      <c r="H599" s="118">
        <f t="shared" si="23"/>
        <v>0.95795</v>
      </c>
      <c r="I599" s="118">
        <f t="shared" si="24"/>
        <v>0.0015455916339592605</v>
      </c>
      <c r="J599" s="42"/>
      <c r="L599" s="94"/>
      <c r="M599" s="94"/>
      <c r="N599" s="94"/>
    </row>
    <row r="600" spans="1:14" ht="12.75">
      <c r="A600" s="23" t="s">
        <v>87</v>
      </c>
      <c r="B600" s="21"/>
      <c r="C600" s="21"/>
      <c r="D600" s="21" t="s">
        <v>86</v>
      </c>
      <c r="E600" s="206">
        <v>330250</v>
      </c>
      <c r="F600" s="40">
        <v>174250</v>
      </c>
      <c r="G600" s="40">
        <v>10595.12</v>
      </c>
      <c r="H600" s="118">
        <f t="shared" si="23"/>
        <v>0.06080413199426112</v>
      </c>
      <c r="I600" s="118">
        <f t="shared" si="24"/>
        <v>0.0008547277432430942</v>
      </c>
      <c r="J600" s="42"/>
      <c r="L600" s="94"/>
      <c r="M600" s="94"/>
      <c r="N600" s="94"/>
    </row>
    <row r="601" spans="1:14" ht="12.75">
      <c r="A601" s="23" t="s">
        <v>87</v>
      </c>
      <c r="B601" s="21"/>
      <c r="C601" s="21"/>
      <c r="D601" s="21" t="s">
        <v>256</v>
      </c>
      <c r="E601" s="206">
        <v>3219118</v>
      </c>
      <c r="F601" s="40">
        <v>4382466</v>
      </c>
      <c r="G601" s="40">
        <v>1113352.39</v>
      </c>
      <c r="H601" s="118">
        <f t="shared" si="23"/>
        <v>0.25404701143146347</v>
      </c>
      <c r="I601" s="118">
        <f t="shared" si="24"/>
        <v>0.08981617723433101</v>
      </c>
      <c r="J601" s="42"/>
      <c r="L601" s="94"/>
      <c r="M601" s="94"/>
      <c r="N601" s="94"/>
    </row>
    <row r="602" spans="1:14" ht="12.75">
      <c r="A602" s="23" t="s">
        <v>87</v>
      </c>
      <c r="B602" s="21"/>
      <c r="C602" s="21"/>
      <c r="D602" s="21" t="s">
        <v>237</v>
      </c>
      <c r="E602" s="206">
        <v>1725388</v>
      </c>
      <c r="F602" s="40">
        <v>2216620</v>
      </c>
      <c r="G602" s="40">
        <v>284374.21</v>
      </c>
      <c r="H602" s="118">
        <f t="shared" si="23"/>
        <v>0.1282918181736157</v>
      </c>
      <c r="I602" s="118">
        <f t="shared" si="24"/>
        <v>0.022940988563587554</v>
      </c>
      <c r="J602" s="42"/>
      <c r="L602" s="94"/>
      <c r="M602" s="94"/>
      <c r="N602" s="94"/>
    </row>
    <row r="603" spans="1:14" ht="12.75" customHeight="1">
      <c r="A603" s="23" t="s">
        <v>363</v>
      </c>
      <c r="B603" s="21"/>
      <c r="C603" s="21"/>
      <c r="D603" s="21" t="s">
        <v>144</v>
      </c>
      <c r="E603" s="206">
        <v>75000</v>
      </c>
      <c r="F603" s="40">
        <v>72235</v>
      </c>
      <c r="G603" s="40">
        <v>72234.84</v>
      </c>
      <c r="H603" s="118">
        <f t="shared" si="23"/>
        <v>0.9999977850072679</v>
      </c>
      <c r="I603" s="118">
        <f t="shared" si="24"/>
        <v>0.005827316894638851</v>
      </c>
      <c r="J603" s="42"/>
      <c r="L603" s="94"/>
      <c r="M603" s="94"/>
      <c r="N603" s="94"/>
    </row>
    <row r="604" spans="1:14" ht="15" customHeight="1">
      <c r="A604" s="131" t="s">
        <v>342</v>
      </c>
      <c r="B604" s="125"/>
      <c r="C604" s="125" t="s">
        <v>343</v>
      </c>
      <c r="D604" s="125"/>
      <c r="E604" s="205">
        <f>SUM(E605:E616)</f>
        <v>641050</v>
      </c>
      <c r="F604" s="127">
        <f>SUM(F605:F616)</f>
        <v>644872.32</v>
      </c>
      <c r="G604" s="127">
        <f>SUM(G605:G616)</f>
        <v>321309.28</v>
      </c>
      <c r="H604" s="90">
        <f t="shared" si="23"/>
        <v>0.4982525533116386</v>
      </c>
      <c r="I604" s="90">
        <f t="shared" si="24"/>
        <v>0.025920608334541136</v>
      </c>
      <c r="J604" s="126"/>
      <c r="L604" s="94"/>
      <c r="M604" s="94"/>
      <c r="N604" s="94"/>
    </row>
    <row r="605" spans="1:14" ht="25.5">
      <c r="A605" s="23" t="s">
        <v>338</v>
      </c>
      <c r="B605" s="21"/>
      <c r="C605" s="21"/>
      <c r="D605" s="21" t="s">
        <v>94</v>
      </c>
      <c r="E605" s="206">
        <v>76050</v>
      </c>
      <c r="F605" s="40">
        <v>76050</v>
      </c>
      <c r="G605" s="40">
        <v>38050</v>
      </c>
      <c r="H605" s="118">
        <f t="shared" si="23"/>
        <v>0.5003287310979618</v>
      </c>
      <c r="I605" s="118">
        <f t="shared" si="24"/>
        <v>0.0030695632168771785</v>
      </c>
      <c r="J605" s="42"/>
      <c r="L605" s="94"/>
      <c r="M605" s="94"/>
      <c r="N605" s="94"/>
    </row>
    <row r="606" spans="1:14" ht="12.75">
      <c r="A606" s="23" t="s">
        <v>369</v>
      </c>
      <c r="B606" s="21"/>
      <c r="C606" s="21"/>
      <c r="D606" s="21" t="s">
        <v>95</v>
      </c>
      <c r="E606" s="206">
        <v>300</v>
      </c>
      <c r="F606" s="40">
        <v>300</v>
      </c>
      <c r="G606" s="40">
        <v>30</v>
      </c>
      <c r="H606" s="118">
        <f t="shared" si="23"/>
        <v>0.1</v>
      </c>
      <c r="I606" s="118">
        <f t="shared" si="24"/>
        <v>2.420154967314464E-06</v>
      </c>
      <c r="J606" s="42"/>
      <c r="L606" s="94"/>
      <c r="M606" s="94"/>
      <c r="N606" s="94"/>
    </row>
    <row r="607" spans="1:14" ht="12.75">
      <c r="A607" s="23" t="s">
        <v>182</v>
      </c>
      <c r="B607" s="21"/>
      <c r="C607" s="21"/>
      <c r="D607" s="21" t="s">
        <v>146</v>
      </c>
      <c r="E607" s="206">
        <v>12600</v>
      </c>
      <c r="F607" s="40">
        <v>12672</v>
      </c>
      <c r="G607" s="40">
        <v>5981.5</v>
      </c>
      <c r="H607" s="118">
        <f t="shared" si="23"/>
        <v>0.47202493686868685</v>
      </c>
      <c r="I607" s="118">
        <f t="shared" si="24"/>
        <v>0.0004825385645663822</v>
      </c>
      <c r="J607" s="42"/>
      <c r="L607" s="94"/>
      <c r="M607" s="94"/>
      <c r="N607" s="94"/>
    </row>
    <row r="608" spans="1:14" ht="12.75">
      <c r="A608" s="23" t="s">
        <v>386</v>
      </c>
      <c r="B608" s="21"/>
      <c r="C608" s="21"/>
      <c r="D608" s="21" t="s">
        <v>164</v>
      </c>
      <c r="E608" s="206">
        <v>935</v>
      </c>
      <c r="F608" s="40">
        <v>765</v>
      </c>
      <c r="G608" s="40">
        <v>765</v>
      </c>
      <c r="H608" s="118">
        <f t="shared" si="23"/>
        <v>1</v>
      </c>
      <c r="I608" s="118">
        <f t="shared" si="24"/>
        <v>6.171395166651883E-05</v>
      </c>
      <c r="J608" s="42"/>
      <c r="L608" s="94"/>
      <c r="M608" s="94"/>
      <c r="N608" s="94"/>
    </row>
    <row r="609" spans="1:14" ht="12.75">
      <c r="A609" s="23" t="s">
        <v>21</v>
      </c>
      <c r="B609" s="21"/>
      <c r="C609" s="21"/>
      <c r="D609" s="21" t="s">
        <v>78</v>
      </c>
      <c r="E609" s="206">
        <v>2328</v>
      </c>
      <c r="F609" s="40">
        <v>2328</v>
      </c>
      <c r="G609" s="40">
        <v>1034</v>
      </c>
      <c r="H609" s="118">
        <f t="shared" si="23"/>
        <v>0.44415807560137455</v>
      </c>
      <c r="I609" s="118">
        <f t="shared" si="24"/>
        <v>8.34146745401052E-05</v>
      </c>
      <c r="J609" s="42"/>
      <c r="L609" s="94"/>
      <c r="M609" s="94"/>
      <c r="N609" s="94"/>
    </row>
    <row r="610" spans="1:14" ht="12.75">
      <c r="A610" s="23" t="s">
        <v>223</v>
      </c>
      <c r="B610" s="21"/>
      <c r="C610" s="21"/>
      <c r="D610" s="21" t="s">
        <v>79</v>
      </c>
      <c r="E610" s="206">
        <v>332</v>
      </c>
      <c r="F610" s="40">
        <v>332</v>
      </c>
      <c r="G610" s="40">
        <v>147.39</v>
      </c>
      <c r="H610" s="118">
        <f t="shared" si="23"/>
        <v>0.4439457831325301</v>
      </c>
      <c r="I610" s="118">
        <f t="shared" si="24"/>
        <v>1.189022135441596E-05</v>
      </c>
      <c r="J610" s="42"/>
      <c r="L610" s="94"/>
      <c r="M610" s="94"/>
      <c r="N610" s="94"/>
    </row>
    <row r="611" spans="1:14" ht="12.75">
      <c r="A611" s="23" t="s">
        <v>9</v>
      </c>
      <c r="B611" s="21"/>
      <c r="C611" s="21"/>
      <c r="D611" s="21" t="s">
        <v>80</v>
      </c>
      <c r="E611" s="206">
        <v>2000</v>
      </c>
      <c r="F611" s="40">
        <v>2000</v>
      </c>
      <c r="G611" s="40">
        <v>527.37</v>
      </c>
      <c r="H611" s="118">
        <f t="shared" si="23"/>
        <v>0.263685</v>
      </c>
      <c r="I611" s="118">
        <f t="shared" si="24"/>
        <v>4.2543904170420964E-05</v>
      </c>
      <c r="J611" s="42"/>
      <c r="L611" s="94"/>
      <c r="M611" s="94"/>
      <c r="N611" s="94"/>
    </row>
    <row r="612" spans="1:14" ht="12.75">
      <c r="A612" s="23" t="s">
        <v>10</v>
      </c>
      <c r="B612" s="21"/>
      <c r="C612" s="21"/>
      <c r="D612" s="21" t="s">
        <v>149</v>
      </c>
      <c r="E612" s="206">
        <v>3318</v>
      </c>
      <c r="F612" s="40">
        <v>3318</v>
      </c>
      <c r="G612" s="40">
        <v>1281.76</v>
      </c>
      <c r="H612" s="118">
        <f t="shared" si="23"/>
        <v>0.3863050030138638</v>
      </c>
      <c r="I612" s="118">
        <f t="shared" si="24"/>
        <v>0.00010340192769683291</v>
      </c>
      <c r="J612" s="42"/>
      <c r="L612" s="94"/>
      <c r="M612" s="94"/>
      <c r="N612" s="94"/>
    </row>
    <row r="613" spans="1:14" ht="12.75">
      <c r="A613" s="23" t="s">
        <v>12</v>
      </c>
      <c r="B613" s="21"/>
      <c r="C613" s="21"/>
      <c r="D613" s="21" t="s">
        <v>76</v>
      </c>
      <c r="E613" s="206">
        <v>542554</v>
      </c>
      <c r="F613" s="40">
        <v>546376.32</v>
      </c>
      <c r="G613" s="40">
        <v>272785.68</v>
      </c>
      <c r="H613" s="118">
        <f t="shared" si="23"/>
        <v>0.49926336485446515</v>
      </c>
      <c r="I613" s="118">
        <f t="shared" si="24"/>
        <v>0.022006120615475126</v>
      </c>
      <c r="J613" s="42"/>
      <c r="L613" s="94"/>
      <c r="M613" s="94"/>
      <c r="N613" s="94"/>
    </row>
    <row r="614" spans="1:10" s="89" customFormat="1" ht="12.75">
      <c r="A614" s="23" t="s">
        <v>26</v>
      </c>
      <c r="B614" s="21"/>
      <c r="C614" s="21"/>
      <c r="D614" s="21" t="s">
        <v>89</v>
      </c>
      <c r="E614" s="206">
        <v>40</v>
      </c>
      <c r="F614" s="40">
        <v>47</v>
      </c>
      <c r="G614" s="40">
        <v>23.18</v>
      </c>
      <c r="H614" s="118">
        <f t="shared" si="23"/>
        <v>0.4931914893617021</v>
      </c>
      <c r="I614" s="118">
        <f t="shared" si="24"/>
        <v>1.8699730714116425E-06</v>
      </c>
      <c r="J614" s="42"/>
    </row>
    <row r="615" spans="1:10" s="89" customFormat="1" ht="12.75">
      <c r="A615" s="23" t="s">
        <v>321</v>
      </c>
      <c r="B615" s="21"/>
      <c r="C615" s="21"/>
      <c r="D615" s="21" t="s">
        <v>139</v>
      </c>
      <c r="E615" s="206">
        <v>593</v>
      </c>
      <c r="F615" s="40">
        <v>684</v>
      </c>
      <c r="G615" s="40">
        <v>683.4</v>
      </c>
      <c r="H615" s="118">
        <f t="shared" si="23"/>
        <v>0.9991228070175439</v>
      </c>
      <c r="I615" s="118">
        <f t="shared" si="24"/>
        <v>5.513113015542349E-05</v>
      </c>
      <c r="J615" s="42"/>
    </row>
    <row r="616" spans="1:10" s="89" customFormat="1" ht="25.5" hidden="1">
      <c r="A616" s="23" t="s">
        <v>480</v>
      </c>
      <c r="B616" s="21"/>
      <c r="C616" s="21"/>
      <c r="D616" s="21" t="s">
        <v>481</v>
      </c>
      <c r="E616" s="206">
        <v>0</v>
      </c>
      <c r="F616" s="40">
        <v>0</v>
      </c>
      <c r="G616" s="40">
        <v>0</v>
      </c>
      <c r="H616" s="118" t="e">
        <f t="shared" si="23"/>
        <v>#DIV/0!</v>
      </c>
      <c r="I616" s="118">
        <f t="shared" si="24"/>
        <v>0</v>
      </c>
      <c r="J616" s="42"/>
    </row>
    <row r="617" spans="1:14" ht="15" customHeight="1">
      <c r="A617" s="87" t="s">
        <v>59</v>
      </c>
      <c r="B617" s="120"/>
      <c r="C617" s="120">
        <v>90003</v>
      </c>
      <c r="D617" s="120"/>
      <c r="E617" s="202">
        <f>SUM(E618:E622)</f>
        <v>114200</v>
      </c>
      <c r="F617" s="123">
        <f>SUM(F618:F622)</f>
        <v>112700</v>
      </c>
      <c r="G617" s="123">
        <f>SUM(G618:G622)</f>
        <v>47918.31</v>
      </c>
      <c r="H617" s="90">
        <f t="shared" si="23"/>
        <v>0.4251846495119787</v>
      </c>
      <c r="I617" s="90">
        <f t="shared" si="24"/>
        <v>0.003865657865727145</v>
      </c>
      <c r="J617" s="122"/>
      <c r="L617" s="94"/>
      <c r="M617" s="94"/>
      <c r="N617" s="94"/>
    </row>
    <row r="618" spans="1:14" ht="12.75">
      <c r="A618" s="19" t="s">
        <v>9</v>
      </c>
      <c r="B618" s="18"/>
      <c r="C618" s="18"/>
      <c r="D618" s="18">
        <v>4210</v>
      </c>
      <c r="E618" s="203">
        <v>50000</v>
      </c>
      <c r="F618" s="45">
        <v>50000</v>
      </c>
      <c r="G618" s="45">
        <v>16028.57</v>
      </c>
      <c r="H618" s="118">
        <f t="shared" si="23"/>
        <v>0.3205714</v>
      </c>
      <c r="I618" s="118">
        <f t="shared" si="24"/>
        <v>0.0012930541101482532</v>
      </c>
      <c r="J618" s="42"/>
      <c r="L618" s="94"/>
      <c r="M618" s="94"/>
      <c r="N618" s="94"/>
    </row>
    <row r="619" spans="1:14" ht="12.75">
      <c r="A619" s="29" t="s">
        <v>11</v>
      </c>
      <c r="B619" s="18"/>
      <c r="C619" s="18"/>
      <c r="D619" s="28" t="s">
        <v>132</v>
      </c>
      <c r="E619" s="203">
        <v>3000</v>
      </c>
      <c r="F619" s="45">
        <v>5000</v>
      </c>
      <c r="G619" s="45">
        <v>2864.5</v>
      </c>
      <c r="H619" s="118">
        <f t="shared" si="23"/>
        <v>0.5729</v>
      </c>
      <c r="I619" s="118">
        <f t="shared" si="24"/>
        <v>0.0002310844634624094</v>
      </c>
      <c r="J619" s="42"/>
      <c r="L619" s="94"/>
      <c r="M619" s="94"/>
      <c r="N619" s="94"/>
    </row>
    <row r="620" spans="1:14" ht="12.75">
      <c r="A620" s="19" t="s">
        <v>12</v>
      </c>
      <c r="B620" s="18"/>
      <c r="C620" s="18"/>
      <c r="D620" s="18">
        <v>4300</v>
      </c>
      <c r="E620" s="203">
        <v>60000</v>
      </c>
      <c r="F620" s="45">
        <v>56500</v>
      </c>
      <c r="G620" s="45">
        <v>28895.24</v>
      </c>
      <c r="H620" s="118">
        <f t="shared" si="23"/>
        <v>0.5114201769911505</v>
      </c>
      <c r="I620" s="118">
        <f aca="true" t="shared" si="26" ref="I620:I683">G620/12395900.43</f>
        <v>0.0023310319539247867</v>
      </c>
      <c r="J620" s="42"/>
      <c r="L620" s="94"/>
      <c r="M620" s="94"/>
      <c r="N620" s="94"/>
    </row>
    <row r="621" spans="1:14" ht="12.75">
      <c r="A621" s="29" t="s">
        <v>26</v>
      </c>
      <c r="B621" s="18"/>
      <c r="C621" s="18"/>
      <c r="D621" s="28" t="s">
        <v>89</v>
      </c>
      <c r="E621" s="203">
        <v>1200</v>
      </c>
      <c r="F621" s="45">
        <v>1200</v>
      </c>
      <c r="G621" s="45">
        <v>130</v>
      </c>
      <c r="H621" s="118">
        <f t="shared" si="23"/>
        <v>0.10833333333333334</v>
      </c>
      <c r="I621" s="118">
        <f t="shared" si="26"/>
        <v>1.048733819169601E-05</v>
      </c>
      <c r="J621" s="42"/>
      <c r="L621" s="94"/>
      <c r="M621" s="94"/>
      <c r="N621" s="94"/>
    </row>
    <row r="622" spans="1:14" ht="12.75" hidden="1">
      <c r="A622" s="29" t="s">
        <v>363</v>
      </c>
      <c r="B622" s="18"/>
      <c r="C622" s="18"/>
      <c r="D622" s="28" t="s">
        <v>144</v>
      </c>
      <c r="E622" s="203">
        <v>0</v>
      </c>
      <c r="F622" s="45">
        <v>0</v>
      </c>
      <c r="G622" s="45">
        <v>0</v>
      </c>
      <c r="H622" s="118" t="e">
        <f t="shared" si="23"/>
        <v>#DIV/0!</v>
      </c>
      <c r="I622" s="118">
        <f t="shared" si="26"/>
        <v>0</v>
      </c>
      <c r="J622" s="42"/>
      <c r="L622" s="94"/>
      <c r="M622" s="94"/>
      <c r="N622" s="94"/>
    </row>
    <row r="623" spans="1:14" ht="15" customHeight="1">
      <c r="A623" s="87" t="s">
        <v>231</v>
      </c>
      <c r="B623" s="120"/>
      <c r="C623" s="120">
        <v>90004</v>
      </c>
      <c r="D623" s="120"/>
      <c r="E623" s="202">
        <f>SUM(E624:E633)</f>
        <v>283000</v>
      </c>
      <c r="F623" s="123">
        <f>SUM(F624:F633)</f>
        <v>211629</v>
      </c>
      <c r="G623" s="123">
        <f>SUM(G624:G633)</f>
        <v>76381.07</v>
      </c>
      <c r="H623" s="90">
        <f t="shared" si="23"/>
        <v>0.360919675469808</v>
      </c>
      <c r="I623" s="90">
        <f t="shared" si="26"/>
        <v>0.006161800865643127</v>
      </c>
      <c r="J623" s="122"/>
      <c r="L623" s="98"/>
      <c r="M623" s="94"/>
      <c r="N623" s="94"/>
    </row>
    <row r="624" spans="1:14" ht="12.75" hidden="1">
      <c r="A624" s="29" t="s">
        <v>21</v>
      </c>
      <c r="B624" s="120"/>
      <c r="C624" s="120"/>
      <c r="D624" s="28" t="s">
        <v>78</v>
      </c>
      <c r="E624" s="200">
        <v>0</v>
      </c>
      <c r="F624" s="41">
        <v>0</v>
      </c>
      <c r="G624" s="41">
        <v>0</v>
      </c>
      <c r="H624" s="118"/>
      <c r="I624" s="118">
        <f t="shared" si="26"/>
        <v>0</v>
      </c>
      <c r="J624" s="122"/>
      <c r="L624" s="98"/>
      <c r="M624" s="94"/>
      <c r="N624" s="94"/>
    </row>
    <row r="625" spans="1:14" ht="12.75" hidden="1">
      <c r="A625" s="29" t="s">
        <v>22</v>
      </c>
      <c r="B625" s="120"/>
      <c r="C625" s="120"/>
      <c r="D625" s="28" t="s">
        <v>79</v>
      </c>
      <c r="E625" s="200">
        <v>0</v>
      </c>
      <c r="F625" s="41">
        <v>0</v>
      </c>
      <c r="G625" s="41">
        <v>0</v>
      </c>
      <c r="H625" s="118"/>
      <c r="I625" s="227">
        <f t="shared" si="26"/>
        <v>0</v>
      </c>
      <c r="J625" s="122"/>
      <c r="L625" s="98"/>
      <c r="M625" s="94"/>
      <c r="N625" s="94"/>
    </row>
    <row r="626" spans="1:14" ht="12.75" hidden="1">
      <c r="A626" s="29" t="s">
        <v>159</v>
      </c>
      <c r="B626" s="18"/>
      <c r="C626" s="18"/>
      <c r="D626" s="28" t="s">
        <v>160</v>
      </c>
      <c r="E626" s="203">
        <v>0</v>
      </c>
      <c r="F626" s="45">
        <v>0</v>
      </c>
      <c r="G626" s="45">
        <v>0</v>
      </c>
      <c r="H626" s="118"/>
      <c r="I626" s="118">
        <f t="shared" si="26"/>
        <v>0</v>
      </c>
      <c r="J626" s="42"/>
      <c r="L626" s="98"/>
      <c r="M626" s="94"/>
      <c r="N626" s="94"/>
    </row>
    <row r="627" spans="1:14" ht="12.75">
      <c r="A627" s="19" t="s">
        <v>9</v>
      </c>
      <c r="B627" s="18"/>
      <c r="C627" s="18"/>
      <c r="D627" s="18">
        <v>4210</v>
      </c>
      <c r="E627" s="203">
        <v>60000</v>
      </c>
      <c r="F627" s="45">
        <v>71987</v>
      </c>
      <c r="G627" s="45">
        <v>38995.98</v>
      </c>
      <c r="H627" s="118">
        <f t="shared" si="23"/>
        <v>0.5417086418381097</v>
      </c>
      <c r="I627" s="118">
        <f t="shared" si="26"/>
        <v>0.0031458771567431836</v>
      </c>
      <c r="J627" s="42"/>
      <c r="L627" s="98"/>
      <c r="M627" s="94"/>
      <c r="N627" s="94"/>
    </row>
    <row r="628" spans="1:10" s="89" customFormat="1" ht="12.75">
      <c r="A628" s="19" t="s">
        <v>10</v>
      </c>
      <c r="B628" s="18"/>
      <c r="C628" s="18"/>
      <c r="D628" s="18" t="s">
        <v>149</v>
      </c>
      <c r="E628" s="203">
        <v>10000</v>
      </c>
      <c r="F628" s="45">
        <v>10000</v>
      </c>
      <c r="G628" s="45">
        <v>236.3</v>
      </c>
      <c r="H628" s="118">
        <f t="shared" si="23"/>
        <v>0.02363</v>
      </c>
      <c r="I628" s="118">
        <f t="shared" si="26"/>
        <v>1.9062753959213596E-05</v>
      </c>
      <c r="J628" s="42"/>
    </row>
    <row r="629" spans="1:14" ht="12.75">
      <c r="A629" s="29" t="s">
        <v>11</v>
      </c>
      <c r="B629" s="18"/>
      <c r="C629" s="18"/>
      <c r="D629" s="28" t="s">
        <v>132</v>
      </c>
      <c r="E629" s="203">
        <v>3000</v>
      </c>
      <c r="F629" s="45">
        <v>5000</v>
      </c>
      <c r="G629" s="45">
        <v>3188</v>
      </c>
      <c r="H629" s="118">
        <f t="shared" si="23"/>
        <v>0.6376</v>
      </c>
      <c r="I629" s="118">
        <f t="shared" si="26"/>
        <v>0.0002571818011932837</v>
      </c>
      <c r="J629" s="42"/>
      <c r="L629" s="94"/>
      <c r="M629" s="94"/>
      <c r="N629" s="94"/>
    </row>
    <row r="630" spans="1:14" ht="12.75">
      <c r="A630" s="19" t="s">
        <v>12</v>
      </c>
      <c r="B630" s="18"/>
      <c r="C630" s="18"/>
      <c r="D630" s="18">
        <v>4300</v>
      </c>
      <c r="E630" s="203">
        <v>35000</v>
      </c>
      <c r="F630" s="45">
        <v>37057</v>
      </c>
      <c r="G630" s="45">
        <v>15155.75</v>
      </c>
      <c r="H630" s="118">
        <f t="shared" si="23"/>
        <v>0.40898480718892516</v>
      </c>
      <c r="I630" s="118">
        <f t="shared" si="26"/>
        <v>0.0012226421215292063</v>
      </c>
      <c r="J630" s="42"/>
      <c r="L630" s="94"/>
      <c r="M630" s="94"/>
      <c r="N630" s="94"/>
    </row>
    <row r="631" spans="1:14" ht="12.75">
      <c r="A631" s="19" t="s">
        <v>26</v>
      </c>
      <c r="B631" s="18"/>
      <c r="C631" s="18"/>
      <c r="D631" s="18" t="s">
        <v>89</v>
      </c>
      <c r="E631" s="203">
        <v>0</v>
      </c>
      <c r="F631" s="45">
        <v>585</v>
      </c>
      <c r="G631" s="45">
        <v>312.5</v>
      </c>
      <c r="H631" s="118">
        <f t="shared" si="23"/>
        <v>0.5341880341880342</v>
      </c>
      <c r="I631" s="118">
        <f t="shared" si="26"/>
        <v>2.5209947576192335E-05</v>
      </c>
      <c r="J631" s="42"/>
      <c r="L631" s="94"/>
      <c r="M631" s="94"/>
      <c r="N631" s="94"/>
    </row>
    <row r="632" spans="1:14" ht="12.75">
      <c r="A632" s="19" t="s">
        <v>87</v>
      </c>
      <c r="B632" s="18"/>
      <c r="C632" s="18"/>
      <c r="D632" s="18" t="s">
        <v>86</v>
      </c>
      <c r="E632" s="203">
        <v>75000</v>
      </c>
      <c r="F632" s="45">
        <v>75000</v>
      </c>
      <c r="G632" s="45">
        <v>12582.53</v>
      </c>
      <c r="H632" s="118">
        <f t="shared" si="23"/>
        <v>0.1677670666666667</v>
      </c>
      <c r="I632" s="118">
        <f t="shared" si="26"/>
        <v>0.0010150557493627756</v>
      </c>
      <c r="J632" s="42"/>
      <c r="L632" s="94"/>
      <c r="M632" s="94"/>
      <c r="N632" s="94"/>
    </row>
    <row r="633" spans="1:14" ht="14.25" customHeight="1">
      <c r="A633" s="19" t="s">
        <v>363</v>
      </c>
      <c r="B633" s="18"/>
      <c r="C633" s="18"/>
      <c r="D633" s="18" t="s">
        <v>144</v>
      </c>
      <c r="E633" s="203">
        <v>100000</v>
      </c>
      <c r="F633" s="45">
        <v>12000</v>
      </c>
      <c r="G633" s="45">
        <v>5910.01</v>
      </c>
      <c r="H633" s="118">
        <f t="shared" si="23"/>
        <v>0.49250083333333333</v>
      </c>
      <c r="I633" s="118">
        <f t="shared" si="26"/>
        <v>0.00047677133527927187</v>
      </c>
      <c r="J633" s="42"/>
      <c r="L633" s="94"/>
      <c r="M633" s="94"/>
      <c r="N633" s="94"/>
    </row>
    <row r="634" spans="1:14" ht="14.25" customHeight="1">
      <c r="A634" s="87" t="s">
        <v>531</v>
      </c>
      <c r="B634" s="18"/>
      <c r="C634" s="120" t="s">
        <v>370</v>
      </c>
      <c r="D634" s="18"/>
      <c r="E634" s="202">
        <v>0</v>
      </c>
      <c r="F634" s="123">
        <f>SUM(F635)</f>
        <v>80000</v>
      </c>
      <c r="G634" s="123">
        <f>SUM(G635)</f>
        <v>0</v>
      </c>
      <c r="H634" s="90">
        <f t="shared" si="23"/>
        <v>0</v>
      </c>
      <c r="I634" s="90">
        <f t="shared" si="26"/>
        <v>0</v>
      </c>
      <c r="J634" s="42"/>
      <c r="L634" s="94"/>
      <c r="M634" s="94"/>
      <c r="N634" s="94"/>
    </row>
    <row r="635" spans="1:14" ht="33.75" customHeight="1">
      <c r="A635" s="244" t="s">
        <v>537</v>
      </c>
      <c r="B635" s="18"/>
      <c r="C635" s="120"/>
      <c r="D635" s="18" t="s">
        <v>516</v>
      </c>
      <c r="E635" s="203">
        <v>0</v>
      </c>
      <c r="F635" s="45">
        <v>80000</v>
      </c>
      <c r="G635" s="45">
        <v>0</v>
      </c>
      <c r="H635" s="118">
        <f t="shared" si="23"/>
        <v>0</v>
      </c>
      <c r="I635" s="118">
        <f t="shared" si="26"/>
        <v>0</v>
      </c>
      <c r="J635" s="42"/>
      <c r="L635" s="94"/>
      <c r="M635" s="94"/>
      <c r="N635" s="94"/>
    </row>
    <row r="636" spans="1:14" ht="14.25" customHeight="1">
      <c r="A636" s="87" t="s">
        <v>532</v>
      </c>
      <c r="B636" s="18"/>
      <c r="C636" s="120" t="s">
        <v>533</v>
      </c>
      <c r="D636" s="18"/>
      <c r="E636" s="202">
        <v>0</v>
      </c>
      <c r="F636" s="123">
        <f>SUM(F637)</f>
        <v>5000</v>
      </c>
      <c r="G636" s="123">
        <f>SUM(G637)</f>
        <v>2100</v>
      </c>
      <c r="H636" s="90">
        <f t="shared" si="23"/>
        <v>0.42</v>
      </c>
      <c r="I636" s="90">
        <f t="shared" si="26"/>
        <v>0.00016941084771201248</v>
      </c>
      <c r="J636" s="42"/>
      <c r="L636" s="94"/>
      <c r="M636" s="94"/>
      <c r="N636" s="94"/>
    </row>
    <row r="637" spans="1:14" ht="14.25" customHeight="1">
      <c r="A637" s="29" t="s">
        <v>12</v>
      </c>
      <c r="B637" s="18"/>
      <c r="C637" s="120"/>
      <c r="D637" s="18" t="s">
        <v>76</v>
      </c>
      <c r="E637" s="203">
        <v>0</v>
      </c>
      <c r="F637" s="45">
        <v>5000</v>
      </c>
      <c r="G637" s="45">
        <v>2100</v>
      </c>
      <c r="H637" s="118">
        <f t="shared" si="23"/>
        <v>0.42</v>
      </c>
      <c r="I637" s="118">
        <f t="shared" si="26"/>
        <v>0.00016941084771201248</v>
      </c>
      <c r="J637" s="42"/>
      <c r="L637" s="94"/>
      <c r="M637" s="94"/>
      <c r="N637" s="94"/>
    </row>
    <row r="638" spans="1:10" ht="15" customHeight="1">
      <c r="A638" s="87" t="s">
        <v>60</v>
      </c>
      <c r="B638" s="120"/>
      <c r="C638" s="120">
        <v>90015</v>
      </c>
      <c r="D638" s="120"/>
      <c r="E638" s="202">
        <f>SUM(E639:E643)</f>
        <v>343000</v>
      </c>
      <c r="F638" s="123">
        <f>SUM(F639:F643)</f>
        <v>343000</v>
      </c>
      <c r="G638" s="123">
        <f>SUM(G639:G643)</f>
        <v>157661.77</v>
      </c>
      <c r="H638" s="90">
        <f t="shared" si="23"/>
        <v>0.4596553061224489</v>
      </c>
      <c r="I638" s="90">
        <f t="shared" si="26"/>
        <v>0.012718863860703018</v>
      </c>
      <c r="J638" s="122"/>
    </row>
    <row r="639" spans="1:10" s="89" customFormat="1" ht="12.75">
      <c r="A639" s="29" t="s">
        <v>9</v>
      </c>
      <c r="B639" s="18"/>
      <c r="C639" s="18"/>
      <c r="D639" s="28" t="s">
        <v>80</v>
      </c>
      <c r="E639" s="203">
        <v>10000</v>
      </c>
      <c r="F639" s="45">
        <v>10000</v>
      </c>
      <c r="G639" s="45">
        <v>735.54</v>
      </c>
      <c r="H639" s="118">
        <f t="shared" si="23"/>
        <v>0.073554</v>
      </c>
      <c r="I639" s="118">
        <f t="shared" si="26"/>
        <v>5.9337359488616024E-05</v>
      </c>
      <c r="J639" s="42"/>
    </row>
    <row r="640" spans="1:10" ht="12.75">
      <c r="A640" s="19" t="s">
        <v>10</v>
      </c>
      <c r="B640" s="18"/>
      <c r="C640" s="18"/>
      <c r="D640" s="18">
        <v>4260</v>
      </c>
      <c r="E640" s="203">
        <v>205000</v>
      </c>
      <c r="F640" s="45">
        <v>205000</v>
      </c>
      <c r="G640" s="99">
        <v>102142.03</v>
      </c>
      <c r="H640" s="118">
        <f t="shared" si="23"/>
        <v>0.49825380487804877</v>
      </c>
      <c r="I640" s="118">
        <f t="shared" si="26"/>
        <v>0.008239984709202767</v>
      </c>
      <c r="J640" s="42"/>
    </row>
    <row r="641" spans="1:10" s="89" customFormat="1" ht="12.75">
      <c r="A641" s="19" t="s">
        <v>11</v>
      </c>
      <c r="B641" s="18"/>
      <c r="C641" s="18"/>
      <c r="D641" s="18">
        <v>4270</v>
      </c>
      <c r="E641" s="203">
        <v>113000</v>
      </c>
      <c r="F641" s="45">
        <v>113000</v>
      </c>
      <c r="G641" s="45">
        <v>54599.7</v>
      </c>
      <c r="H641" s="118">
        <f t="shared" si="23"/>
        <v>0.48318318584070796</v>
      </c>
      <c r="I641" s="118">
        <f t="shared" si="26"/>
        <v>0.004404657838962651</v>
      </c>
      <c r="J641" s="42"/>
    </row>
    <row r="642" spans="1:10" ht="12.75">
      <c r="A642" s="19" t="s">
        <v>12</v>
      </c>
      <c r="B642" s="18"/>
      <c r="C642" s="18"/>
      <c r="D642" s="18">
        <v>4300</v>
      </c>
      <c r="E642" s="203">
        <v>15000</v>
      </c>
      <c r="F642" s="45">
        <v>15000</v>
      </c>
      <c r="G642" s="45">
        <v>184.5</v>
      </c>
      <c r="H642" s="118">
        <f t="shared" si="23"/>
        <v>0.0123</v>
      </c>
      <c r="I642" s="118">
        <f t="shared" si="26"/>
        <v>1.4883953048983954E-05</v>
      </c>
      <c r="J642" s="42"/>
    </row>
    <row r="643" spans="1:10" ht="12.75" hidden="1">
      <c r="A643" s="19" t="s">
        <v>87</v>
      </c>
      <c r="B643" s="18"/>
      <c r="C643" s="18"/>
      <c r="D643" s="18" t="s">
        <v>86</v>
      </c>
      <c r="E643" s="203">
        <v>0</v>
      </c>
      <c r="F643" s="45">
        <v>0</v>
      </c>
      <c r="G643" s="45">
        <v>0</v>
      </c>
      <c r="H643" s="118" t="e">
        <f t="shared" si="23"/>
        <v>#DIV/0!</v>
      </c>
      <c r="I643" s="227">
        <f t="shared" si="26"/>
        <v>0</v>
      </c>
      <c r="J643" s="42"/>
    </row>
    <row r="644" spans="1:10" ht="25.5" hidden="1">
      <c r="A644" s="184" t="s">
        <v>217</v>
      </c>
      <c r="B644" s="179"/>
      <c r="C644" s="179" t="s">
        <v>218</v>
      </c>
      <c r="D644" s="179"/>
      <c r="E644" s="202">
        <f>E645</f>
        <v>0</v>
      </c>
      <c r="F644" s="202">
        <f>F645</f>
        <v>0</v>
      </c>
      <c r="G644" s="202">
        <f>G645</f>
        <v>0</v>
      </c>
      <c r="H644" s="181" t="e">
        <f t="shared" si="23"/>
        <v>#DIV/0!</v>
      </c>
      <c r="I644" s="118">
        <f t="shared" si="26"/>
        <v>0</v>
      </c>
      <c r="J644" s="180"/>
    </row>
    <row r="645" spans="1:10" ht="12.75" hidden="1">
      <c r="A645" s="185" t="s">
        <v>9</v>
      </c>
      <c r="B645" s="186"/>
      <c r="C645" s="186"/>
      <c r="D645" s="186" t="s">
        <v>80</v>
      </c>
      <c r="E645" s="200">
        <v>0</v>
      </c>
      <c r="F645" s="187">
        <v>0</v>
      </c>
      <c r="G645" s="187">
        <v>0</v>
      </c>
      <c r="H645" s="182" t="e">
        <f t="shared" si="23"/>
        <v>#DIV/0!</v>
      </c>
      <c r="I645" s="227">
        <f t="shared" si="26"/>
        <v>0</v>
      </c>
      <c r="J645" s="188"/>
    </row>
    <row r="646" spans="1:10" s="89" customFormat="1" ht="15" customHeight="1">
      <c r="A646" s="87" t="s">
        <v>15</v>
      </c>
      <c r="B646" s="120"/>
      <c r="C646" s="120" t="s">
        <v>88</v>
      </c>
      <c r="D646" s="120"/>
      <c r="E646" s="202">
        <f>SUM(E647:E659)</f>
        <v>462355</v>
      </c>
      <c r="F646" s="123">
        <f>SUM(F647:F659)</f>
        <v>437691</v>
      </c>
      <c r="G646" s="123">
        <f>SUM(G647:G659)</f>
        <v>215117.87000000002</v>
      </c>
      <c r="H646" s="90">
        <f t="shared" si="23"/>
        <v>0.49148342095222436</v>
      </c>
      <c r="I646" s="90">
        <f t="shared" si="26"/>
        <v>0.017353952721286908</v>
      </c>
      <c r="J646" s="122"/>
    </row>
    <row r="647" spans="1:10" ht="12.75">
      <c r="A647" s="29" t="s">
        <v>314</v>
      </c>
      <c r="B647" s="18"/>
      <c r="C647" s="18"/>
      <c r="D647" s="28" t="s">
        <v>95</v>
      </c>
      <c r="E647" s="203">
        <v>14000</v>
      </c>
      <c r="F647" s="45">
        <v>14000</v>
      </c>
      <c r="G647" s="45">
        <v>6226.25</v>
      </c>
      <c r="H647" s="118">
        <f t="shared" si="23"/>
        <v>0.44473214285714285</v>
      </c>
      <c r="I647" s="118">
        <f t="shared" si="26"/>
        <v>0.000502282995508056</v>
      </c>
      <c r="J647" s="42"/>
    </row>
    <row r="648" spans="1:10" ht="12.75">
      <c r="A648" s="29" t="s">
        <v>19</v>
      </c>
      <c r="B648" s="18"/>
      <c r="C648" s="18"/>
      <c r="D648" s="28" t="s">
        <v>146</v>
      </c>
      <c r="E648" s="203">
        <v>280867</v>
      </c>
      <c r="F648" s="45">
        <v>265064</v>
      </c>
      <c r="G648" s="45">
        <v>129525.52</v>
      </c>
      <c r="H648" s="118">
        <f t="shared" si="23"/>
        <v>0.48865753176591314</v>
      </c>
      <c r="I648" s="118">
        <f t="shared" si="26"/>
        <v>0.010449061020732965</v>
      </c>
      <c r="J648" s="42"/>
    </row>
    <row r="649" spans="1:10" s="89" customFormat="1" ht="12.75">
      <c r="A649" s="29" t="s">
        <v>20</v>
      </c>
      <c r="B649" s="18"/>
      <c r="C649" s="18"/>
      <c r="D649" s="28" t="s">
        <v>164</v>
      </c>
      <c r="E649" s="203">
        <v>33406</v>
      </c>
      <c r="F649" s="45">
        <v>32719</v>
      </c>
      <c r="G649" s="45">
        <v>32718.48</v>
      </c>
      <c r="H649" s="118">
        <f t="shared" si="23"/>
        <v>0.9999841070937375</v>
      </c>
      <c r="I649" s="118">
        <f t="shared" si="26"/>
        <v>0.0026394597298326316</v>
      </c>
      <c r="J649" s="42"/>
    </row>
    <row r="650" spans="1:10" ht="12.75">
      <c r="A650" s="29" t="s">
        <v>21</v>
      </c>
      <c r="B650" s="18"/>
      <c r="C650" s="18"/>
      <c r="D650" s="28" t="s">
        <v>78</v>
      </c>
      <c r="E650" s="203">
        <v>54026</v>
      </c>
      <c r="F650" s="45">
        <v>51255</v>
      </c>
      <c r="G650" s="45">
        <v>21852.4</v>
      </c>
      <c r="H650" s="118">
        <f t="shared" si="23"/>
        <v>0.4263466978831334</v>
      </c>
      <c r="I650" s="118">
        <f t="shared" si="26"/>
        <v>0.0017628731469247533</v>
      </c>
      <c r="J650" s="42"/>
    </row>
    <row r="651" spans="1:10" ht="12.75">
      <c r="A651" s="29" t="s">
        <v>22</v>
      </c>
      <c r="B651" s="18"/>
      <c r="C651" s="18"/>
      <c r="D651" s="28" t="s">
        <v>79</v>
      </c>
      <c r="E651" s="203">
        <v>7091</v>
      </c>
      <c r="F651" s="45">
        <v>6688</v>
      </c>
      <c r="G651" s="45">
        <v>2869.89</v>
      </c>
      <c r="H651" s="118">
        <f t="shared" si="23"/>
        <v>0.42911034688995214</v>
      </c>
      <c r="I651" s="118">
        <f t="shared" si="26"/>
        <v>0.00023151928463820357</v>
      </c>
      <c r="J651" s="42"/>
    </row>
    <row r="652" spans="1:10" ht="12.75">
      <c r="A652" s="29" t="s">
        <v>159</v>
      </c>
      <c r="B652" s="18"/>
      <c r="C652" s="18"/>
      <c r="D652" s="28" t="s">
        <v>160</v>
      </c>
      <c r="E652" s="203">
        <v>2000</v>
      </c>
      <c r="F652" s="45">
        <v>2000</v>
      </c>
      <c r="G652" s="45">
        <v>0</v>
      </c>
      <c r="H652" s="118">
        <f t="shared" si="23"/>
        <v>0</v>
      </c>
      <c r="I652" s="118">
        <f t="shared" si="26"/>
        <v>0</v>
      </c>
      <c r="J652" s="42"/>
    </row>
    <row r="653" spans="1:10" ht="12.75">
      <c r="A653" s="29" t="s">
        <v>9</v>
      </c>
      <c r="B653" s="18"/>
      <c r="C653" s="18"/>
      <c r="D653" s="28" t="s">
        <v>80</v>
      </c>
      <c r="E653" s="203">
        <v>20000</v>
      </c>
      <c r="F653" s="45">
        <v>20000</v>
      </c>
      <c r="G653" s="45">
        <v>4485.78</v>
      </c>
      <c r="H653" s="118">
        <f t="shared" si="23"/>
        <v>0.224289</v>
      </c>
      <c r="I653" s="118">
        <f t="shared" si="26"/>
        <v>0.00036187609164266255</v>
      </c>
      <c r="J653" s="42"/>
    </row>
    <row r="654" spans="1:10" ht="12.75">
      <c r="A654" s="29" t="s">
        <v>11</v>
      </c>
      <c r="B654" s="18"/>
      <c r="C654" s="18"/>
      <c r="D654" s="28" t="s">
        <v>132</v>
      </c>
      <c r="E654" s="203">
        <v>5000</v>
      </c>
      <c r="F654" s="45">
        <v>5000</v>
      </c>
      <c r="G654" s="45">
        <v>0</v>
      </c>
      <c r="H654" s="118">
        <f>G654/F654</f>
        <v>0</v>
      </c>
      <c r="I654" s="118">
        <f t="shared" si="26"/>
        <v>0</v>
      </c>
      <c r="J654" s="42"/>
    </row>
    <row r="655" spans="1:10" ht="12.75">
      <c r="A655" s="29" t="s">
        <v>45</v>
      </c>
      <c r="B655" s="18"/>
      <c r="C655" s="18"/>
      <c r="D655" s="28" t="s">
        <v>134</v>
      </c>
      <c r="E655" s="203">
        <v>1965</v>
      </c>
      <c r="F655" s="45">
        <v>1965</v>
      </c>
      <c r="G655" s="45">
        <v>1044</v>
      </c>
      <c r="H655" s="118">
        <f aca="true" t="shared" si="27" ref="H655:H730">G655/F655</f>
        <v>0.5312977099236641</v>
      </c>
      <c r="I655" s="118">
        <f t="shared" si="26"/>
        <v>8.422139286254335E-05</v>
      </c>
      <c r="J655" s="42"/>
    </row>
    <row r="656" spans="1:10" ht="12.75">
      <c r="A656" s="19" t="s">
        <v>12</v>
      </c>
      <c r="B656" s="18"/>
      <c r="C656" s="18"/>
      <c r="D656" s="18" t="s">
        <v>76</v>
      </c>
      <c r="E656" s="203">
        <v>19500</v>
      </c>
      <c r="F656" s="45">
        <v>14500</v>
      </c>
      <c r="G656" s="45">
        <v>2694.65</v>
      </c>
      <c r="H656" s="118">
        <f t="shared" si="27"/>
        <v>0.18583793103448276</v>
      </c>
      <c r="I656" s="118">
        <f t="shared" si="26"/>
        <v>0.00021738235275579735</v>
      </c>
      <c r="J656" s="42"/>
    </row>
    <row r="657" spans="1:10" ht="12.75">
      <c r="A657" s="29" t="s">
        <v>394</v>
      </c>
      <c r="B657" s="18"/>
      <c r="C657" s="18"/>
      <c r="D657" s="28" t="s">
        <v>194</v>
      </c>
      <c r="E657" s="203">
        <v>500</v>
      </c>
      <c r="F657" s="45">
        <v>500</v>
      </c>
      <c r="G657" s="45">
        <v>214.02</v>
      </c>
      <c r="H657" s="118">
        <f t="shared" si="27"/>
        <v>0.42804000000000003</v>
      </c>
      <c r="I657" s="118">
        <f t="shared" si="26"/>
        <v>1.7265385536821386E-05</v>
      </c>
      <c r="J657" s="42"/>
    </row>
    <row r="658" spans="1:10" ht="12.75">
      <c r="A658" s="29" t="s">
        <v>316</v>
      </c>
      <c r="B658" s="18"/>
      <c r="C658" s="18"/>
      <c r="D658" s="28" t="s">
        <v>139</v>
      </c>
      <c r="E658" s="203">
        <v>23500</v>
      </c>
      <c r="F658" s="45">
        <v>23500</v>
      </c>
      <c r="G658" s="45">
        <v>13486.88</v>
      </c>
      <c r="H658" s="118">
        <f t="shared" si="27"/>
        <v>0.5739097872340425</v>
      </c>
      <c r="I658" s="118">
        <f t="shared" si="26"/>
        <v>0.0010880113208524699</v>
      </c>
      <c r="J658" s="42"/>
    </row>
    <row r="659" spans="1:10" ht="25.5">
      <c r="A659" s="29" t="s">
        <v>207</v>
      </c>
      <c r="B659" s="18"/>
      <c r="C659" s="18"/>
      <c r="D659" s="28" t="s">
        <v>193</v>
      </c>
      <c r="E659" s="203">
        <v>500</v>
      </c>
      <c r="F659" s="45">
        <v>500</v>
      </c>
      <c r="G659" s="45">
        <v>0</v>
      </c>
      <c r="H659" s="118">
        <f t="shared" si="27"/>
        <v>0</v>
      </c>
      <c r="I659" s="227">
        <f t="shared" si="26"/>
        <v>0</v>
      </c>
      <c r="J659" s="42"/>
    </row>
    <row r="660" spans="1:10" ht="18" customHeight="1">
      <c r="A660" s="20" t="s">
        <v>61</v>
      </c>
      <c r="B660" s="16">
        <v>921</v>
      </c>
      <c r="C660" s="16"/>
      <c r="D660" s="16"/>
      <c r="E660" s="201">
        <f>SUM(E661,E671,E675,E681,E678)</f>
        <v>967752</v>
      </c>
      <c r="F660" s="176">
        <f>SUM(F661,F671,F675,F681,F678)</f>
        <v>1120302</v>
      </c>
      <c r="G660" s="39">
        <f>SUM(G661,G671,G675,G681,G678)</f>
        <v>529071.87</v>
      </c>
      <c r="H660" s="30">
        <f t="shared" si="27"/>
        <v>0.4722582571485189</v>
      </c>
      <c r="I660" s="30">
        <f t="shared" si="26"/>
        <v>0.042681197141561746</v>
      </c>
      <c r="J660" s="39">
        <f>SUM(J661,J671,J675)</f>
        <v>0</v>
      </c>
    </row>
    <row r="661" spans="1:10" ht="15" customHeight="1">
      <c r="A661" s="87" t="s">
        <v>62</v>
      </c>
      <c r="B661" s="120"/>
      <c r="C661" s="120">
        <v>92105</v>
      </c>
      <c r="D661" s="120"/>
      <c r="E661" s="202">
        <f>SUM(E662:E670)</f>
        <v>38786</v>
      </c>
      <c r="F661" s="123">
        <f>SUM(F662:F670)</f>
        <v>38786</v>
      </c>
      <c r="G661" s="123">
        <f>SUM(G662:G670)</f>
        <v>23151.87</v>
      </c>
      <c r="H661" s="90">
        <f t="shared" si="27"/>
        <v>0.5969130614139122</v>
      </c>
      <c r="I661" s="90">
        <f t="shared" si="26"/>
        <v>0.001867703772770624</v>
      </c>
      <c r="J661" s="122"/>
    </row>
    <row r="662" spans="1:10" ht="12.75">
      <c r="A662" s="29" t="s">
        <v>27</v>
      </c>
      <c r="B662" s="28"/>
      <c r="C662" s="28"/>
      <c r="D662" s="28" t="s">
        <v>78</v>
      </c>
      <c r="E662" s="200">
        <v>600</v>
      </c>
      <c r="F662" s="41">
        <v>602</v>
      </c>
      <c r="G662" s="41">
        <v>601.65</v>
      </c>
      <c r="H662" s="118">
        <v>0</v>
      </c>
      <c r="I662" s="118">
        <f t="shared" si="26"/>
        <v>4.8536207869491576E-05</v>
      </c>
      <c r="J662" s="42"/>
    </row>
    <row r="663" spans="1:10" ht="12.75">
      <c r="A663" s="29" t="s">
        <v>22</v>
      </c>
      <c r="B663" s="28"/>
      <c r="C663" s="28"/>
      <c r="D663" s="28" t="s">
        <v>79</v>
      </c>
      <c r="E663" s="200">
        <v>86</v>
      </c>
      <c r="F663" s="41">
        <v>86</v>
      </c>
      <c r="G663" s="41">
        <v>85.75</v>
      </c>
      <c r="H663" s="118">
        <v>0</v>
      </c>
      <c r="I663" s="118">
        <f t="shared" si="26"/>
        <v>6.9176096149071765E-06</v>
      </c>
      <c r="J663" s="42"/>
    </row>
    <row r="664" spans="1:10" s="94" customFormat="1" ht="12.75">
      <c r="A664" s="29" t="s">
        <v>159</v>
      </c>
      <c r="B664" s="18"/>
      <c r="C664" s="18"/>
      <c r="D664" s="28" t="s">
        <v>160</v>
      </c>
      <c r="E664" s="203">
        <v>3500</v>
      </c>
      <c r="F664" s="45">
        <v>3500</v>
      </c>
      <c r="G664" s="45">
        <v>3500</v>
      </c>
      <c r="H664" s="118">
        <f t="shared" si="27"/>
        <v>1</v>
      </c>
      <c r="I664" s="118">
        <f t="shared" si="26"/>
        <v>0.0002823514128533541</v>
      </c>
      <c r="J664" s="42"/>
    </row>
    <row r="665" spans="1:10" s="94" customFormat="1" ht="12.75">
      <c r="A665" s="29" t="s">
        <v>387</v>
      </c>
      <c r="B665" s="18"/>
      <c r="C665" s="18"/>
      <c r="D665" s="28" t="s">
        <v>383</v>
      </c>
      <c r="E665" s="203">
        <v>2000</v>
      </c>
      <c r="F665" s="45">
        <v>2000</v>
      </c>
      <c r="G665" s="45">
        <v>0</v>
      </c>
      <c r="H665" s="118">
        <f t="shared" si="27"/>
        <v>0</v>
      </c>
      <c r="I665" s="118">
        <f t="shared" si="26"/>
        <v>0</v>
      </c>
      <c r="J665" s="42"/>
    </row>
    <row r="666" spans="1:10" ht="12.75">
      <c r="A666" s="19" t="s">
        <v>9</v>
      </c>
      <c r="B666" s="18"/>
      <c r="C666" s="18"/>
      <c r="D666" s="18" t="s">
        <v>80</v>
      </c>
      <c r="E666" s="203">
        <v>9000</v>
      </c>
      <c r="F666" s="45">
        <v>9000</v>
      </c>
      <c r="G666" s="45">
        <v>2067.02</v>
      </c>
      <c r="H666" s="118">
        <f t="shared" si="27"/>
        <v>0.2296688888888889</v>
      </c>
      <c r="I666" s="118">
        <f t="shared" si="26"/>
        <v>0.00016675029068461146</v>
      </c>
      <c r="J666" s="42"/>
    </row>
    <row r="667" spans="1:10" ht="12.75">
      <c r="A667" s="19" t="s">
        <v>57</v>
      </c>
      <c r="B667" s="18"/>
      <c r="C667" s="18"/>
      <c r="D667" s="18" t="s">
        <v>135</v>
      </c>
      <c r="E667" s="203">
        <v>2500</v>
      </c>
      <c r="F667" s="45">
        <v>2498</v>
      </c>
      <c r="G667" s="45">
        <v>759.96</v>
      </c>
      <c r="H667" s="118">
        <f t="shared" si="27"/>
        <v>0.30422738190552445</v>
      </c>
      <c r="I667" s="118">
        <f t="shared" si="26"/>
        <v>6.130736563201001E-05</v>
      </c>
      <c r="J667" s="42"/>
    </row>
    <row r="668" spans="1:10" s="89" customFormat="1" ht="12.75">
      <c r="A668" s="29" t="s">
        <v>10</v>
      </c>
      <c r="B668" s="18"/>
      <c r="C668" s="18"/>
      <c r="D668" s="28" t="s">
        <v>149</v>
      </c>
      <c r="E668" s="203">
        <v>1000</v>
      </c>
      <c r="F668" s="45">
        <v>1000</v>
      </c>
      <c r="G668" s="45">
        <v>0</v>
      </c>
      <c r="H668" s="118">
        <f t="shared" si="27"/>
        <v>0</v>
      </c>
      <c r="I668" s="118">
        <f t="shared" si="26"/>
        <v>0</v>
      </c>
      <c r="J668" s="42"/>
    </row>
    <row r="669" spans="1:10" ht="12.75">
      <c r="A669" s="19" t="s">
        <v>12</v>
      </c>
      <c r="B669" s="18"/>
      <c r="C669" s="18"/>
      <c r="D669" s="18">
        <v>4300</v>
      </c>
      <c r="E669" s="203">
        <v>20000</v>
      </c>
      <c r="F669" s="45">
        <v>20000</v>
      </c>
      <c r="G669" s="45">
        <v>16137.49</v>
      </c>
      <c r="H669" s="118">
        <f t="shared" si="27"/>
        <v>0.8068744999999999</v>
      </c>
      <c r="I669" s="118">
        <f t="shared" si="26"/>
        <v>0.0013018408861162497</v>
      </c>
      <c r="J669" s="42"/>
    </row>
    <row r="670" spans="1:10" ht="12.75">
      <c r="A670" s="29" t="s">
        <v>26</v>
      </c>
      <c r="B670" s="18"/>
      <c r="C670" s="18"/>
      <c r="D670" s="18" t="s">
        <v>89</v>
      </c>
      <c r="E670" s="203">
        <v>100</v>
      </c>
      <c r="F670" s="45">
        <v>100</v>
      </c>
      <c r="G670" s="45">
        <v>0</v>
      </c>
      <c r="H670" s="118">
        <f t="shared" si="27"/>
        <v>0</v>
      </c>
      <c r="I670" s="118">
        <f t="shared" si="26"/>
        <v>0</v>
      </c>
      <c r="J670" s="42"/>
    </row>
    <row r="671" spans="1:10" ht="15" customHeight="1">
      <c r="A671" s="87" t="s">
        <v>63</v>
      </c>
      <c r="B671" s="120"/>
      <c r="C671" s="120">
        <v>92109</v>
      </c>
      <c r="D671" s="120"/>
      <c r="E671" s="202">
        <f>SUM(E672:E674)</f>
        <v>469016</v>
      </c>
      <c r="F671" s="123">
        <f>SUM(F672:F674)</f>
        <v>496516</v>
      </c>
      <c r="G671" s="123">
        <f>SUM(G672:G674)</f>
        <v>220920</v>
      </c>
      <c r="H671" s="90">
        <f t="shared" si="27"/>
        <v>0.4449403443192163</v>
      </c>
      <c r="I671" s="90">
        <f t="shared" si="26"/>
        <v>0.017822021179303715</v>
      </c>
      <c r="J671" s="122"/>
    </row>
    <row r="672" spans="1:10" ht="13.5" customHeight="1">
      <c r="A672" s="29" t="s">
        <v>185</v>
      </c>
      <c r="B672" s="18"/>
      <c r="C672" s="18"/>
      <c r="D672" s="28" t="s">
        <v>165</v>
      </c>
      <c r="E672" s="203">
        <v>365000</v>
      </c>
      <c r="F672" s="45">
        <v>392500</v>
      </c>
      <c r="G672" s="45">
        <v>210000</v>
      </c>
      <c r="H672" s="118">
        <f t="shared" si="27"/>
        <v>0.535031847133758</v>
      </c>
      <c r="I672" s="118">
        <f t="shared" si="26"/>
        <v>0.016941084771201247</v>
      </c>
      <c r="J672" s="42"/>
    </row>
    <row r="673" spans="1:10" ht="25.5" hidden="1">
      <c r="A673" s="29" t="s">
        <v>419</v>
      </c>
      <c r="B673" s="18"/>
      <c r="C673" s="18"/>
      <c r="D673" s="28" t="s">
        <v>418</v>
      </c>
      <c r="E673" s="203">
        <v>0</v>
      </c>
      <c r="F673" s="45">
        <v>0</v>
      </c>
      <c r="G673" s="45">
        <v>0</v>
      </c>
      <c r="H673" s="118" t="e">
        <f t="shared" si="27"/>
        <v>#DIV/0!</v>
      </c>
      <c r="I673" s="227">
        <f t="shared" si="26"/>
        <v>0</v>
      </c>
      <c r="J673" s="42"/>
    </row>
    <row r="674" spans="1:10" ht="36" customHeight="1">
      <c r="A674" s="133" t="s">
        <v>396</v>
      </c>
      <c r="B674" s="18"/>
      <c r="C674" s="18"/>
      <c r="D674" s="28" t="s">
        <v>371</v>
      </c>
      <c r="E674" s="203">
        <v>104016</v>
      </c>
      <c r="F674" s="45">
        <v>104016</v>
      </c>
      <c r="G674" s="45">
        <v>10920</v>
      </c>
      <c r="H674" s="118">
        <f t="shared" si="27"/>
        <v>0.10498384863867097</v>
      </c>
      <c r="I674" s="118">
        <f t="shared" si="26"/>
        <v>0.0008809364081024649</v>
      </c>
      <c r="J674" s="42"/>
    </row>
    <row r="675" spans="1:10" ht="15" customHeight="1">
      <c r="A675" s="87" t="s">
        <v>64</v>
      </c>
      <c r="B675" s="120"/>
      <c r="C675" s="120">
        <v>92116</v>
      </c>
      <c r="D675" s="120"/>
      <c r="E675" s="202">
        <f>SUM(E676:E677)</f>
        <v>459950</v>
      </c>
      <c r="F675" s="123">
        <f>SUM(F676:F677)</f>
        <v>585000</v>
      </c>
      <c r="G675" s="123">
        <f>SUM(G676:G677)</f>
        <v>285000</v>
      </c>
      <c r="H675" s="90">
        <f t="shared" si="27"/>
        <v>0.48717948717948717</v>
      </c>
      <c r="I675" s="90">
        <f t="shared" si="26"/>
        <v>0.022991472189487407</v>
      </c>
      <c r="J675" s="122"/>
    </row>
    <row r="676" spans="1:10" s="89" customFormat="1" ht="13.5" customHeight="1">
      <c r="A676" s="29" t="s">
        <v>185</v>
      </c>
      <c r="B676" s="18"/>
      <c r="C676" s="18"/>
      <c r="D676" s="28" t="s">
        <v>165</v>
      </c>
      <c r="E676" s="203">
        <v>430000</v>
      </c>
      <c r="F676" s="45">
        <v>435000</v>
      </c>
      <c r="G676" s="45">
        <v>210000</v>
      </c>
      <c r="H676" s="118">
        <f t="shared" si="27"/>
        <v>0.4827586206896552</v>
      </c>
      <c r="I676" s="118">
        <f t="shared" si="26"/>
        <v>0.016941084771201247</v>
      </c>
      <c r="J676" s="42"/>
    </row>
    <row r="677" spans="1:10" ht="36" customHeight="1">
      <c r="A677" s="133" t="s">
        <v>396</v>
      </c>
      <c r="B677" s="18"/>
      <c r="C677" s="18"/>
      <c r="D677" s="28" t="s">
        <v>371</v>
      </c>
      <c r="E677" s="203">
        <v>29950</v>
      </c>
      <c r="F677" s="45">
        <v>150000</v>
      </c>
      <c r="G677" s="45">
        <v>75000</v>
      </c>
      <c r="H677" s="118">
        <f t="shared" si="27"/>
        <v>0.5</v>
      </c>
      <c r="I677" s="118">
        <f t="shared" si="26"/>
        <v>0.00605038741828616</v>
      </c>
      <c r="J677" s="42"/>
    </row>
    <row r="678" spans="1:10" s="89" customFormat="1" ht="12.75" hidden="1">
      <c r="A678" s="87" t="s">
        <v>380</v>
      </c>
      <c r="B678" s="120"/>
      <c r="C678" s="120" t="s">
        <v>379</v>
      </c>
      <c r="D678" s="120"/>
      <c r="E678" s="202">
        <f>SUM(E679)</f>
        <v>0</v>
      </c>
      <c r="F678" s="123">
        <f>SUM(F679)</f>
        <v>0</v>
      </c>
      <c r="G678" s="123">
        <f>G679+G680</f>
        <v>0</v>
      </c>
      <c r="H678" s="90" t="e">
        <f t="shared" si="27"/>
        <v>#DIV/0!</v>
      </c>
      <c r="I678" s="118">
        <f t="shared" si="26"/>
        <v>0</v>
      </c>
      <c r="J678" s="122"/>
    </row>
    <row r="679" spans="1:10" ht="36" hidden="1">
      <c r="A679" s="133" t="s">
        <v>381</v>
      </c>
      <c r="B679" s="143"/>
      <c r="C679" s="143"/>
      <c r="D679" s="28" t="s">
        <v>382</v>
      </c>
      <c r="E679" s="200">
        <v>0</v>
      </c>
      <c r="F679" s="41">
        <v>0</v>
      </c>
      <c r="G679" s="41">
        <v>0</v>
      </c>
      <c r="H679" s="118" t="e">
        <f t="shared" si="27"/>
        <v>#DIV/0!</v>
      </c>
      <c r="I679" s="227">
        <f t="shared" si="26"/>
        <v>0</v>
      </c>
      <c r="J679" s="174"/>
    </row>
    <row r="680" spans="1:10" ht="12.75" hidden="1">
      <c r="A680" s="29" t="s">
        <v>12</v>
      </c>
      <c r="B680" s="143"/>
      <c r="C680" s="143"/>
      <c r="D680" s="28" t="s">
        <v>76</v>
      </c>
      <c r="E680" s="200"/>
      <c r="F680" s="41">
        <v>0</v>
      </c>
      <c r="G680" s="41">
        <v>0</v>
      </c>
      <c r="H680" s="118" t="e">
        <f t="shared" si="27"/>
        <v>#DIV/0!</v>
      </c>
      <c r="I680" s="118">
        <f t="shared" si="26"/>
        <v>0</v>
      </c>
      <c r="J680" s="174"/>
    </row>
    <row r="681" spans="1:10" s="103" customFormat="1" ht="15" customHeight="1" hidden="1">
      <c r="A681" s="87" t="s">
        <v>15</v>
      </c>
      <c r="B681" s="120"/>
      <c r="C681" s="120" t="s">
        <v>344</v>
      </c>
      <c r="D681" s="120"/>
      <c r="E681" s="202">
        <f>SUM(E682:E683)</f>
        <v>0</v>
      </c>
      <c r="F681" s="123">
        <f>SUM(F682:F683)</f>
        <v>0</v>
      </c>
      <c r="G681" s="123">
        <f>SUM(G683,G682)</f>
        <v>0</v>
      </c>
      <c r="H681" s="118" t="e">
        <f t="shared" si="27"/>
        <v>#DIV/0!</v>
      </c>
      <c r="I681" s="227">
        <f t="shared" si="26"/>
        <v>0</v>
      </c>
      <c r="J681" s="122"/>
    </row>
    <row r="682" spans="1:10" s="89" customFormat="1" ht="12.75" hidden="1">
      <c r="A682" s="29" t="s">
        <v>12</v>
      </c>
      <c r="B682" s="120"/>
      <c r="C682" s="120"/>
      <c r="D682" s="28" t="s">
        <v>76</v>
      </c>
      <c r="E682" s="200">
        <v>0</v>
      </c>
      <c r="F682" s="41">
        <v>0</v>
      </c>
      <c r="G682" s="41">
        <v>0</v>
      </c>
      <c r="H682" s="118" t="e">
        <f t="shared" si="27"/>
        <v>#DIV/0!</v>
      </c>
      <c r="I682" s="118">
        <f t="shared" si="26"/>
        <v>0</v>
      </c>
      <c r="J682" s="122"/>
    </row>
    <row r="683" spans="1:10" s="89" customFormat="1" ht="12.75" hidden="1">
      <c r="A683" s="29" t="s">
        <v>9</v>
      </c>
      <c r="B683" s="18"/>
      <c r="C683" s="18"/>
      <c r="D683" s="28" t="s">
        <v>80</v>
      </c>
      <c r="E683" s="203">
        <v>0</v>
      </c>
      <c r="F683" s="45">
        <v>0</v>
      </c>
      <c r="G683" s="45">
        <v>0</v>
      </c>
      <c r="H683" s="118" t="e">
        <f t="shared" si="27"/>
        <v>#DIV/0!</v>
      </c>
      <c r="I683" s="227">
        <f t="shared" si="26"/>
        <v>0</v>
      </c>
      <c r="J683" s="42"/>
    </row>
    <row r="684" spans="1:10" ht="18" customHeight="1">
      <c r="A684" s="20" t="s">
        <v>328</v>
      </c>
      <c r="B684" s="16">
        <v>926</v>
      </c>
      <c r="C684" s="16"/>
      <c r="D684" s="16"/>
      <c r="E684" s="201">
        <f>SUM(E685,E705,E707)</f>
        <v>390127</v>
      </c>
      <c r="F684" s="39">
        <f>SUM(F685,F705,F707)</f>
        <v>453433</v>
      </c>
      <c r="G684" s="39">
        <f>SUM(G685,G705,G707)</f>
        <v>183553.84</v>
      </c>
      <c r="H684" s="30">
        <f t="shared" si="27"/>
        <v>0.4048091779821936</v>
      </c>
      <c r="I684" s="30">
        <f aca="true" t="shared" si="28" ref="I684:I730">G684/12395900.43</f>
        <v>0.014807624588188146</v>
      </c>
      <c r="J684" s="83">
        <v>0</v>
      </c>
    </row>
    <row r="685" spans="1:10" s="89" customFormat="1" ht="15" customHeight="1">
      <c r="A685" s="131" t="s">
        <v>238</v>
      </c>
      <c r="B685" s="125"/>
      <c r="C685" s="125" t="s">
        <v>239</v>
      </c>
      <c r="D685" s="125"/>
      <c r="E685" s="205">
        <f>SUM(E686:E703)</f>
        <v>191727</v>
      </c>
      <c r="F685" s="127">
        <f>SUM(F686:F703,F704)</f>
        <v>242033</v>
      </c>
      <c r="G685" s="127">
        <f>SUM(G686:G704)</f>
        <v>114199.1</v>
      </c>
      <c r="H685" s="90">
        <f t="shared" si="27"/>
        <v>0.4718327666062066</v>
      </c>
      <c r="I685" s="90">
        <f t="shared" si="28"/>
        <v>0.009212650637594707</v>
      </c>
      <c r="J685" s="122"/>
    </row>
    <row r="686" spans="1:10" ht="12.75">
      <c r="A686" s="23" t="s">
        <v>314</v>
      </c>
      <c r="B686" s="21"/>
      <c r="C686" s="21"/>
      <c r="D686" s="21" t="s">
        <v>95</v>
      </c>
      <c r="E686" s="206">
        <v>1000</v>
      </c>
      <c r="F686" s="40">
        <v>1000</v>
      </c>
      <c r="G686" s="40">
        <v>236.05</v>
      </c>
      <c r="H686" s="118">
        <f t="shared" si="27"/>
        <v>0.23605</v>
      </c>
      <c r="I686" s="118">
        <f t="shared" si="28"/>
        <v>1.9042586001152644E-05</v>
      </c>
      <c r="J686" s="42"/>
    </row>
    <row r="687" spans="1:10" ht="12.75">
      <c r="A687" s="23" t="s">
        <v>19</v>
      </c>
      <c r="B687" s="21"/>
      <c r="C687" s="21"/>
      <c r="D687" s="21" t="s">
        <v>146</v>
      </c>
      <c r="E687" s="206">
        <v>74510</v>
      </c>
      <c r="F687" s="40">
        <v>78510</v>
      </c>
      <c r="G687" s="40">
        <v>40722.27</v>
      </c>
      <c r="H687" s="118">
        <f t="shared" si="27"/>
        <v>0.5186889568207871</v>
      </c>
      <c r="I687" s="118">
        <f t="shared" si="28"/>
        <v>0.003285140134027359</v>
      </c>
      <c r="J687" s="42"/>
    </row>
    <row r="688" spans="1:10" s="89" customFormat="1" ht="12.75">
      <c r="A688" s="23" t="s">
        <v>20</v>
      </c>
      <c r="B688" s="21"/>
      <c r="C688" s="21"/>
      <c r="D688" s="21" t="s">
        <v>164</v>
      </c>
      <c r="E688" s="206">
        <v>6475</v>
      </c>
      <c r="F688" s="40">
        <v>6475</v>
      </c>
      <c r="G688" s="40">
        <v>6470.33</v>
      </c>
      <c r="H688" s="118">
        <f t="shared" si="27"/>
        <v>0.9992787644787645</v>
      </c>
      <c r="I688" s="118">
        <f t="shared" si="28"/>
        <v>0.0005219733763221266</v>
      </c>
      <c r="J688" s="42"/>
    </row>
    <row r="689" spans="1:10" ht="12.75">
      <c r="A689" s="23" t="s">
        <v>21</v>
      </c>
      <c r="B689" s="21"/>
      <c r="C689" s="21"/>
      <c r="D689" s="21" t="s">
        <v>78</v>
      </c>
      <c r="E689" s="206">
        <v>13922</v>
      </c>
      <c r="F689" s="40">
        <v>14610</v>
      </c>
      <c r="G689" s="40">
        <v>7712.22</v>
      </c>
      <c r="H689" s="118">
        <f t="shared" si="27"/>
        <v>0.5278726899383984</v>
      </c>
      <c r="I689" s="118">
        <f t="shared" si="28"/>
        <v>0.0006221589180673985</v>
      </c>
      <c r="J689" s="42"/>
    </row>
    <row r="690" spans="1:10" ht="12.75">
      <c r="A690" s="23" t="s">
        <v>22</v>
      </c>
      <c r="B690" s="21"/>
      <c r="C690" s="21"/>
      <c r="D690" s="21" t="s">
        <v>79</v>
      </c>
      <c r="E690" s="206">
        <v>1985</v>
      </c>
      <c r="F690" s="40">
        <v>2083</v>
      </c>
      <c r="G690" s="40">
        <v>1036.26</v>
      </c>
      <c r="H690" s="118">
        <f t="shared" si="27"/>
        <v>0.4974843975036006</v>
      </c>
      <c r="I690" s="118">
        <f t="shared" si="28"/>
        <v>8.359699288097621E-05</v>
      </c>
      <c r="J690" s="42"/>
    </row>
    <row r="691" spans="1:10" ht="12.75">
      <c r="A691" s="23" t="s">
        <v>159</v>
      </c>
      <c r="B691" s="21"/>
      <c r="C691" s="21"/>
      <c r="D691" s="21" t="s">
        <v>160</v>
      </c>
      <c r="E691" s="206">
        <v>2000</v>
      </c>
      <c r="F691" s="40">
        <v>2000</v>
      </c>
      <c r="G691" s="40">
        <v>0</v>
      </c>
      <c r="H691" s="118">
        <f t="shared" si="27"/>
        <v>0</v>
      </c>
      <c r="I691" s="118">
        <f t="shared" si="28"/>
        <v>0</v>
      </c>
      <c r="J691" s="42"/>
    </row>
    <row r="692" spans="1:10" ht="12.75">
      <c r="A692" s="23" t="s">
        <v>9</v>
      </c>
      <c r="B692" s="21"/>
      <c r="C692" s="21"/>
      <c r="D692" s="21" t="s">
        <v>80</v>
      </c>
      <c r="E692" s="206">
        <v>45000</v>
      </c>
      <c r="F692" s="40">
        <v>44020</v>
      </c>
      <c r="G692" s="40">
        <v>9455.89</v>
      </c>
      <c r="H692" s="118">
        <f t="shared" si="27"/>
        <v>0.21480895047705587</v>
      </c>
      <c r="I692" s="118">
        <f t="shared" si="28"/>
        <v>0.0007628239717959722</v>
      </c>
      <c r="J692" s="42"/>
    </row>
    <row r="693" spans="1:10" ht="12.75">
      <c r="A693" s="23" t="s">
        <v>10</v>
      </c>
      <c r="B693" s="21"/>
      <c r="C693" s="21"/>
      <c r="D693" s="21" t="s">
        <v>149</v>
      </c>
      <c r="E693" s="206">
        <v>18000</v>
      </c>
      <c r="F693" s="40">
        <v>18000</v>
      </c>
      <c r="G693" s="40">
        <v>4651.23</v>
      </c>
      <c r="H693" s="118">
        <f t="shared" si="27"/>
        <v>0.25840166666666664</v>
      </c>
      <c r="I693" s="118">
        <f t="shared" si="28"/>
        <v>0.00037522324628740176</v>
      </c>
      <c r="J693" s="42"/>
    </row>
    <row r="694" spans="1:10" ht="12.75">
      <c r="A694" s="23" t="s">
        <v>11</v>
      </c>
      <c r="B694" s="21"/>
      <c r="C694" s="21"/>
      <c r="D694" s="21" t="s">
        <v>132</v>
      </c>
      <c r="E694" s="206">
        <v>5000</v>
      </c>
      <c r="F694" s="40">
        <v>5000</v>
      </c>
      <c r="G694" s="40">
        <v>2991.23</v>
      </c>
      <c r="H694" s="118">
        <f t="shared" si="27"/>
        <v>0.598246</v>
      </c>
      <c r="I694" s="118">
        <f t="shared" si="28"/>
        <v>0.00024130800476266815</v>
      </c>
      <c r="J694" s="42"/>
    </row>
    <row r="695" spans="1:10" ht="12.75">
      <c r="A695" s="23" t="s">
        <v>45</v>
      </c>
      <c r="B695" s="21"/>
      <c r="C695" s="21"/>
      <c r="D695" s="21" t="s">
        <v>134</v>
      </c>
      <c r="E695" s="206">
        <v>300</v>
      </c>
      <c r="F695" s="40">
        <v>300</v>
      </c>
      <c r="G695" s="40">
        <v>95</v>
      </c>
      <c r="H695" s="118">
        <f t="shared" si="27"/>
        <v>0.31666666666666665</v>
      </c>
      <c r="I695" s="118">
        <f t="shared" si="28"/>
        <v>7.66382406316247E-06</v>
      </c>
      <c r="J695" s="42"/>
    </row>
    <row r="696" spans="1:10" s="26" customFormat="1" ht="12.75">
      <c r="A696" s="23" t="s">
        <v>12</v>
      </c>
      <c r="B696" s="21"/>
      <c r="C696" s="21"/>
      <c r="D696" s="21" t="s">
        <v>76</v>
      </c>
      <c r="E696" s="206">
        <v>18000</v>
      </c>
      <c r="F696" s="40">
        <v>18000</v>
      </c>
      <c r="G696" s="40">
        <v>4777.83</v>
      </c>
      <c r="H696" s="118">
        <f t="shared" si="27"/>
        <v>0.265435</v>
      </c>
      <c r="I696" s="118">
        <f t="shared" si="28"/>
        <v>0.00038543630024946886</v>
      </c>
      <c r="J696" s="42"/>
    </row>
    <row r="697" spans="1:10" s="26" customFormat="1" ht="12.75">
      <c r="A697" s="23" t="s">
        <v>394</v>
      </c>
      <c r="B697" s="21"/>
      <c r="C697" s="21"/>
      <c r="D697" s="21" t="s">
        <v>194</v>
      </c>
      <c r="E697" s="206">
        <v>470</v>
      </c>
      <c r="F697" s="40">
        <v>470</v>
      </c>
      <c r="G697" s="40">
        <v>214.02</v>
      </c>
      <c r="H697" s="118">
        <f t="shared" si="27"/>
        <v>0.4553617021276596</v>
      </c>
      <c r="I697" s="118">
        <f t="shared" si="28"/>
        <v>1.7265385536821386E-05</v>
      </c>
      <c r="J697" s="42"/>
    </row>
    <row r="698" spans="1:10" s="26" customFormat="1" ht="12.75" hidden="1">
      <c r="A698" s="23" t="s">
        <v>205</v>
      </c>
      <c r="B698" s="21"/>
      <c r="C698" s="21"/>
      <c r="D698" s="21" t="s">
        <v>206</v>
      </c>
      <c r="E698" s="206">
        <v>0</v>
      </c>
      <c r="F698" s="40">
        <v>0</v>
      </c>
      <c r="G698" s="40">
        <v>0</v>
      </c>
      <c r="H698" s="118" t="e">
        <f t="shared" si="27"/>
        <v>#DIV/0!</v>
      </c>
      <c r="I698" s="118">
        <f t="shared" si="28"/>
        <v>0</v>
      </c>
      <c r="J698" s="42"/>
    </row>
    <row r="699" spans="1:10" s="26" customFormat="1" ht="12.75">
      <c r="A699" s="23" t="s">
        <v>26</v>
      </c>
      <c r="B699" s="21"/>
      <c r="C699" s="21"/>
      <c r="D699" s="21" t="s">
        <v>89</v>
      </c>
      <c r="E699" s="206">
        <v>1400</v>
      </c>
      <c r="F699" s="194">
        <v>2290</v>
      </c>
      <c r="G699" s="40">
        <v>1144.91</v>
      </c>
      <c r="H699" s="118">
        <f t="shared" si="27"/>
        <v>0.49996069868995635</v>
      </c>
      <c r="I699" s="118">
        <f t="shared" si="28"/>
        <v>9.236198745426677E-05</v>
      </c>
      <c r="J699" s="42"/>
    </row>
    <row r="700" spans="1:10" s="26" customFormat="1" ht="12.75">
      <c r="A700" s="23" t="s">
        <v>321</v>
      </c>
      <c r="B700" s="21"/>
      <c r="C700" s="21"/>
      <c r="D700" s="21" t="s">
        <v>139</v>
      </c>
      <c r="E700" s="206">
        <v>2965</v>
      </c>
      <c r="F700" s="40">
        <v>3575</v>
      </c>
      <c r="G700" s="40">
        <v>2587.46</v>
      </c>
      <c r="H700" s="118">
        <f t="shared" si="27"/>
        <v>0.723765034965035</v>
      </c>
      <c r="I700" s="118">
        <f t="shared" si="28"/>
        <v>0.00020873513905758276</v>
      </c>
      <c r="J700" s="42"/>
    </row>
    <row r="701" spans="1:10" s="26" customFormat="1" ht="12.75">
      <c r="A701" s="23" t="s">
        <v>208</v>
      </c>
      <c r="B701" s="21"/>
      <c r="C701" s="21"/>
      <c r="D701" s="21" t="s">
        <v>209</v>
      </c>
      <c r="E701" s="206">
        <v>200</v>
      </c>
      <c r="F701" s="40">
        <v>200</v>
      </c>
      <c r="G701" s="40">
        <v>0</v>
      </c>
      <c r="H701" s="118">
        <f t="shared" si="27"/>
        <v>0</v>
      </c>
      <c r="I701" s="118">
        <f t="shared" si="28"/>
        <v>0</v>
      </c>
      <c r="J701" s="42"/>
    </row>
    <row r="702" spans="1:10" s="26" customFormat="1" ht="25.5">
      <c r="A702" s="29" t="s">
        <v>207</v>
      </c>
      <c r="B702" s="21"/>
      <c r="C702" s="21"/>
      <c r="D702" s="21" t="s">
        <v>193</v>
      </c>
      <c r="E702" s="206">
        <v>500</v>
      </c>
      <c r="F702" s="40">
        <v>500</v>
      </c>
      <c r="G702" s="40">
        <v>0</v>
      </c>
      <c r="H702" s="118">
        <f t="shared" si="27"/>
        <v>0</v>
      </c>
      <c r="I702" s="118">
        <f t="shared" si="28"/>
        <v>0</v>
      </c>
      <c r="J702" s="42"/>
    </row>
    <row r="703" spans="1:10" s="26" customFormat="1" ht="12.75">
      <c r="A703" s="23" t="s">
        <v>87</v>
      </c>
      <c r="B703" s="21"/>
      <c r="C703" s="21"/>
      <c r="D703" s="21" t="s">
        <v>86</v>
      </c>
      <c r="E703" s="206">
        <v>0</v>
      </c>
      <c r="F703" s="40">
        <v>20000</v>
      </c>
      <c r="G703" s="40">
        <v>12114.4</v>
      </c>
      <c r="H703" s="118">
        <f t="shared" si="27"/>
        <v>0.60572</v>
      </c>
      <c r="I703" s="118">
        <f t="shared" si="28"/>
        <v>0.0009772908445344782</v>
      </c>
      <c r="J703" s="42"/>
    </row>
    <row r="704" spans="1:10" s="26" customFormat="1" ht="12.75">
      <c r="A704" s="23" t="s">
        <v>363</v>
      </c>
      <c r="B704" s="21"/>
      <c r="C704" s="21"/>
      <c r="D704" s="21" t="s">
        <v>144</v>
      </c>
      <c r="E704" s="206">
        <v>0</v>
      </c>
      <c r="F704" s="40">
        <v>25000</v>
      </c>
      <c r="G704" s="40">
        <v>19990</v>
      </c>
      <c r="H704" s="118">
        <f t="shared" si="27"/>
        <v>0.7996</v>
      </c>
      <c r="I704" s="118">
        <f t="shared" si="28"/>
        <v>0.0016126299265538711</v>
      </c>
      <c r="J704" s="42"/>
    </row>
    <row r="705" spans="1:10" s="26" customFormat="1" ht="15" customHeight="1">
      <c r="A705" s="87" t="s">
        <v>325</v>
      </c>
      <c r="B705" s="120"/>
      <c r="C705" s="120" t="s">
        <v>186</v>
      </c>
      <c r="D705" s="120"/>
      <c r="E705" s="202">
        <f>SUM(E706)</f>
        <v>115000</v>
      </c>
      <c r="F705" s="123">
        <f>SUM(F706)</f>
        <v>115000</v>
      </c>
      <c r="G705" s="123">
        <f>SUM(G706)</f>
        <v>64000</v>
      </c>
      <c r="H705" s="90">
        <f t="shared" si="27"/>
        <v>0.5565217391304348</v>
      </c>
      <c r="I705" s="90">
        <f t="shared" si="28"/>
        <v>0.00516299726360419</v>
      </c>
      <c r="J705" s="122"/>
    </row>
    <row r="706" spans="1:10" s="26" customFormat="1" ht="25.5">
      <c r="A706" s="29" t="s">
        <v>183</v>
      </c>
      <c r="B706" s="18"/>
      <c r="C706" s="18"/>
      <c r="D706" s="18">
        <v>2820</v>
      </c>
      <c r="E706" s="203">
        <v>115000</v>
      </c>
      <c r="F706" s="45">
        <v>115000</v>
      </c>
      <c r="G706" s="45">
        <v>64000</v>
      </c>
      <c r="H706" s="118">
        <f t="shared" si="27"/>
        <v>0.5565217391304348</v>
      </c>
      <c r="I706" s="118">
        <f t="shared" si="28"/>
        <v>0.00516299726360419</v>
      </c>
      <c r="J706" s="42"/>
    </row>
    <row r="707" spans="1:10" s="26" customFormat="1" ht="15" customHeight="1">
      <c r="A707" s="87" t="s">
        <v>15</v>
      </c>
      <c r="B707" s="120"/>
      <c r="C707" s="120">
        <v>92695</v>
      </c>
      <c r="D707" s="120"/>
      <c r="E707" s="202">
        <f>SUM(E708:E713)</f>
        <v>83400</v>
      </c>
      <c r="F707" s="123">
        <f>SUM(F708:F713)</f>
        <v>96400</v>
      </c>
      <c r="G707" s="123">
        <f>SUM(G708:G713)</f>
        <v>5354.74</v>
      </c>
      <c r="H707" s="90">
        <f t="shared" si="27"/>
        <v>0.055547095435684646</v>
      </c>
      <c r="I707" s="90">
        <f t="shared" si="28"/>
        <v>0.0004319766869892484</v>
      </c>
      <c r="J707" s="122"/>
    </row>
    <row r="708" spans="1:10" s="89" customFormat="1" ht="12.75">
      <c r="A708" s="29" t="s">
        <v>197</v>
      </c>
      <c r="B708" s="28"/>
      <c r="C708" s="28"/>
      <c r="D708" s="28" t="s">
        <v>80</v>
      </c>
      <c r="E708" s="200">
        <v>5000</v>
      </c>
      <c r="F708" s="41">
        <v>4975</v>
      </c>
      <c r="G708" s="41">
        <v>492.69</v>
      </c>
      <c r="H708" s="118">
        <f t="shared" si="27"/>
        <v>0.09903316582914573</v>
      </c>
      <c r="I708" s="118">
        <f t="shared" si="28"/>
        <v>3.974620502820544E-05</v>
      </c>
      <c r="J708" s="42"/>
    </row>
    <row r="709" spans="1:10" s="26" customFormat="1" ht="12.75">
      <c r="A709" s="29" t="s">
        <v>11</v>
      </c>
      <c r="B709" s="28"/>
      <c r="C709" s="28"/>
      <c r="D709" s="28" t="s">
        <v>132</v>
      </c>
      <c r="E709" s="200">
        <v>300</v>
      </c>
      <c r="F709" s="41">
        <v>300</v>
      </c>
      <c r="G709" s="41">
        <v>0</v>
      </c>
      <c r="H709" s="118">
        <f t="shared" si="27"/>
        <v>0</v>
      </c>
      <c r="I709" s="118">
        <f t="shared" si="28"/>
        <v>0</v>
      </c>
      <c r="J709" s="42"/>
    </row>
    <row r="710" spans="1:10" s="26" customFormat="1" ht="12.75">
      <c r="A710" s="29" t="s">
        <v>12</v>
      </c>
      <c r="B710" s="28"/>
      <c r="C710" s="28"/>
      <c r="D710" s="28" t="s">
        <v>76</v>
      </c>
      <c r="E710" s="200">
        <v>3000</v>
      </c>
      <c r="F710" s="41">
        <v>3000</v>
      </c>
      <c r="G710" s="41">
        <v>2800</v>
      </c>
      <c r="H710" s="118">
        <f t="shared" si="27"/>
        <v>0.9333333333333333</v>
      </c>
      <c r="I710" s="118">
        <f t="shared" si="28"/>
        <v>0.0002258811302826833</v>
      </c>
      <c r="J710" s="42"/>
    </row>
    <row r="711" spans="1:10" s="89" customFormat="1" ht="12.75">
      <c r="A711" s="29" t="s">
        <v>26</v>
      </c>
      <c r="B711" s="28"/>
      <c r="C711" s="28"/>
      <c r="D711" s="28" t="s">
        <v>89</v>
      </c>
      <c r="E711" s="200">
        <v>100</v>
      </c>
      <c r="F711" s="41">
        <v>125</v>
      </c>
      <c r="G711" s="41">
        <v>62.05</v>
      </c>
      <c r="H711" s="118">
        <f t="shared" si="27"/>
        <v>0.49639999999999995</v>
      </c>
      <c r="I711" s="118">
        <f t="shared" si="28"/>
        <v>5.0056871907287496E-06</v>
      </c>
      <c r="J711" s="42"/>
    </row>
    <row r="712" spans="1:10" s="94" customFormat="1" ht="12.75">
      <c r="A712" s="29" t="s">
        <v>87</v>
      </c>
      <c r="B712" s="28"/>
      <c r="C712" s="28"/>
      <c r="D712" s="28" t="s">
        <v>86</v>
      </c>
      <c r="E712" s="200">
        <v>75000</v>
      </c>
      <c r="F712" s="41">
        <v>88000</v>
      </c>
      <c r="G712" s="41">
        <v>2000</v>
      </c>
      <c r="H712" s="118">
        <v>0</v>
      </c>
      <c r="I712" s="118">
        <f t="shared" si="28"/>
        <v>0.00016134366448763092</v>
      </c>
      <c r="J712" s="42"/>
    </row>
    <row r="713" spans="1:10" s="94" customFormat="1" ht="12.75" hidden="1">
      <c r="A713" s="29" t="s">
        <v>363</v>
      </c>
      <c r="B713" s="28"/>
      <c r="C713" s="28"/>
      <c r="D713" s="28" t="s">
        <v>144</v>
      </c>
      <c r="E713" s="200">
        <v>0</v>
      </c>
      <c r="F713" s="41">
        <v>0</v>
      </c>
      <c r="G713" s="41">
        <v>0</v>
      </c>
      <c r="H713" s="118">
        <v>0</v>
      </c>
      <c r="I713" s="118">
        <f t="shared" si="28"/>
        <v>0</v>
      </c>
      <c r="J713" s="42"/>
    </row>
    <row r="714" spans="1:10" s="94" customFormat="1" ht="15.75">
      <c r="A714" s="24" t="s">
        <v>65</v>
      </c>
      <c r="B714" s="25"/>
      <c r="C714" s="25"/>
      <c r="D714" s="25"/>
      <c r="E714" s="211">
        <f>SUM(E684,E660,E590,E492,E402,E371,E233,E229,E224,E185,E152,E83,E77,E67,E46,E18,E14,E3,E469,E523)</f>
        <v>27777901.25</v>
      </c>
      <c r="F714" s="211">
        <f>SUM(F684,F660,F590,F492,F402,F371,F233,F229,F224,F185,F152,F83,F77,F67,F46,F18,F14,F3,F469,F523)</f>
        <v>30919140.42</v>
      </c>
      <c r="G714" s="211">
        <f>SUM(G684,G660,G590,G492,G402,G371,G233,G229,G224,G185,G152,G83,G77,G67,G46,G18,G14,G3,G469,G523)</f>
        <v>12395900.430000002</v>
      </c>
      <c r="H714" s="30">
        <f t="shared" si="27"/>
        <v>0.4009134879435953</v>
      </c>
      <c r="I714" s="30">
        <f t="shared" si="28"/>
        <v>1.0000000000000002</v>
      </c>
      <c r="J714" s="83">
        <v>0</v>
      </c>
    </row>
    <row r="715" spans="1:10" s="94" customFormat="1" ht="12.75">
      <c r="A715" s="31" t="s">
        <v>279</v>
      </c>
      <c r="B715" s="75"/>
      <c r="C715" s="75"/>
      <c r="D715" s="75"/>
      <c r="E715" s="212"/>
      <c r="F715" s="76"/>
      <c r="G715" s="77"/>
      <c r="H715" s="30"/>
      <c r="I715" s="227"/>
      <c r="J715" s="86"/>
    </row>
    <row r="716" spans="1:10" s="94" customFormat="1" ht="15" customHeight="1">
      <c r="A716" s="87" t="s">
        <v>280</v>
      </c>
      <c r="B716" s="88"/>
      <c r="C716" s="88"/>
      <c r="D716" s="88"/>
      <c r="E716" s="195">
        <v>20936179.25</v>
      </c>
      <c r="F716" s="195">
        <f>F718+F719+F720+F721+F722+F723+F724</f>
        <v>21486553.42</v>
      </c>
      <c r="G716" s="195">
        <f>G718+G719+G720+G721+G722+G723+G724</f>
        <v>10552810.99</v>
      </c>
      <c r="H716" s="90">
        <f t="shared" si="27"/>
        <v>0.4911355852994686</v>
      </c>
      <c r="I716" s="90">
        <f t="shared" si="28"/>
        <v>0.8513145978859723</v>
      </c>
      <c r="J716" s="260" t="s">
        <v>292</v>
      </c>
    </row>
    <row r="717" spans="1:10" s="26" customFormat="1" ht="12.75" customHeight="1">
      <c r="A717" s="31" t="s">
        <v>282</v>
      </c>
      <c r="B717" s="75"/>
      <c r="C717" s="75"/>
      <c r="D717" s="75"/>
      <c r="E717" s="212"/>
      <c r="F717" s="76"/>
      <c r="G717" s="226"/>
      <c r="H717" s="30"/>
      <c r="I717" s="227"/>
      <c r="J717" s="261"/>
    </row>
    <row r="718" spans="1:10" s="26" customFormat="1" ht="12.75">
      <c r="A718" s="31" t="s">
        <v>283</v>
      </c>
      <c r="B718" s="75"/>
      <c r="C718" s="75"/>
      <c r="D718" s="75"/>
      <c r="E718" s="213">
        <v>8817195</v>
      </c>
      <c r="F718" s="151">
        <v>8971074.64</v>
      </c>
      <c r="G718" s="241">
        <v>4367280.45</v>
      </c>
      <c r="H718" s="118">
        <f>G718/F718</f>
        <v>0.4868179817083765</v>
      </c>
      <c r="I718" s="118">
        <f t="shared" si="28"/>
        <v>0.35231651582409496</v>
      </c>
      <c r="J718" s="91">
        <f aca="true" t="shared" si="29" ref="J718:J724">G718/9523089.3</f>
        <v>0.45859912812116543</v>
      </c>
    </row>
    <row r="719" spans="1:10" s="26" customFormat="1" ht="25.5">
      <c r="A719" s="31" t="s">
        <v>284</v>
      </c>
      <c r="B719" s="75"/>
      <c r="C719" s="75"/>
      <c r="D719" s="75"/>
      <c r="E719" s="213">
        <v>4305969</v>
      </c>
      <c r="F719" s="151">
        <v>4518443.15</v>
      </c>
      <c r="G719" s="241">
        <v>2121539.03</v>
      </c>
      <c r="H719" s="118">
        <f t="shared" si="27"/>
        <v>0.46952876457015946</v>
      </c>
      <c r="I719" s="118">
        <f t="shared" si="28"/>
        <v>0.17114844072686697</v>
      </c>
      <c r="J719" s="91">
        <f t="shared" si="29"/>
        <v>0.22277844543576839</v>
      </c>
    </row>
    <row r="720" spans="1:10" s="26" customFormat="1" ht="12.75">
      <c r="A720" s="31" t="s">
        <v>285</v>
      </c>
      <c r="B720" s="75"/>
      <c r="C720" s="75"/>
      <c r="D720" s="75"/>
      <c r="E720" s="213">
        <v>993900</v>
      </c>
      <c r="F720" s="151">
        <v>1026400</v>
      </c>
      <c r="G720" s="241">
        <v>525531.68</v>
      </c>
      <c r="H720" s="118">
        <f t="shared" si="27"/>
        <v>0.5120144972720188</v>
      </c>
      <c r="I720" s="118">
        <f t="shared" si="28"/>
        <v>0.04239560352777052</v>
      </c>
      <c r="J720" s="91">
        <f t="shared" si="29"/>
        <v>0.05518499968282352</v>
      </c>
    </row>
    <row r="721" spans="1:10" s="26" customFormat="1" ht="12.75">
      <c r="A721" s="31" t="s">
        <v>286</v>
      </c>
      <c r="B721" s="75"/>
      <c r="C721" s="75"/>
      <c r="D721" s="75"/>
      <c r="E721" s="213">
        <v>6505427</v>
      </c>
      <c r="F721" s="151">
        <v>6538285.78</v>
      </c>
      <c r="G721" s="241">
        <v>3365170.98</v>
      </c>
      <c r="H721" s="118">
        <f t="shared" si="27"/>
        <v>0.5146870438569298</v>
      </c>
      <c r="I721" s="118">
        <f t="shared" si="28"/>
        <v>0.2714745087703161</v>
      </c>
      <c r="J721" s="91">
        <f t="shared" si="29"/>
        <v>0.3533696759516893</v>
      </c>
    </row>
    <row r="722" spans="1:10" ht="25.5">
      <c r="A722" s="29" t="s">
        <v>331</v>
      </c>
      <c r="B722" s="75"/>
      <c r="C722" s="75"/>
      <c r="D722" s="75"/>
      <c r="E722" s="213">
        <v>88780.25</v>
      </c>
      <c r="F722" s="151">
        <v>239310.85</v>
      </c>
      <c r="G722" s="241">
        <v>128944.4</v>
      </c>
      <c r="H722" s="118">
        <f t="shared" si="27"/>
        <v>0.538815519647354</v>
      </c>
      <c r="I722" s="118">
        <f t="shared" si="28"/>
        <v>0.01040218100557944</v>
      </c>
      <c r="J722" s="91">
        <f t="shared" si="29"/>
        <v>0.013540185956252662</v>
      </c>
    </row>
    <row r="723" spans="1:10" ht="12.75">
      <c r="A723" s="31" t="s">
        <v>288</v>
      </c>
      <c r="B723" s="75"/>
      <c r="C723" s="75"/>
      <c r="D723" s="75"/>
      <c r="E723" s="213">
        <v>100880</v>
      </c>
      <c r="F723" s="151">
        <v>75660</v>
      </c>
      <c r="G723" s="241">
        <v>0</v>
      </c>
      <c r="H723" s="118">
        <f t="shared" si="27"/>
        <v>0</v>
      </c>
      <c r="I723" s="118">
        <f t="shared" si="28"/>
        <v>0</v>
      </c>
      <c r="J723" s="91">
        <f t="shared" si="29"/>
        <v>0</v>
      </c>
    </row>
    <row r="724" spans="1:10" ht="12.75">
      <c r="A724" s="31" t="s">
        <v>289</v>
      </c>
      <c r="B724" s="75"/>
      <c r="C724" s="75"/>
      <c r="D724" s="75"/>
      <c r="E724" s="213">
        <v>124028</v>
      </c>
      <c r="F724" s="151">
        <v>117379</v>
      </c>
      <c r="G724" s="241">
        <v>44344.45</v>
      </c>
      <c r="H724" s="118">
        <f t="shared" si="27"/>
        <v>0.37778861636238165</v>
      </c>
      <c r="I724" s="118">
        <f t="shared" si="28"/>
        <v>0.0035773480313442624</v>
      </c>
      <c r="J724" s="91">
        <f t="shared" si="29"/>
        <v>0.004656519392294263</v>
      </c>
    </row>
    <row r="725" spans="1:10" ht="15" customHeight="1">
      <c r="A725" s="87" t="s">
        <v>281</v>
      </c>
      <c r="B725" s="88"/>
      <c r="C725" s="88"/>
      <c r="D725" s="88"/>
      <c r="E725" s="195">
        <v>6841722</v>
      </c>
      <c r="F725" s="92">
        <f>F727+F730</f>
        <v>9432587</v>
      </c>
      <c r="G725" s="242">
        <f>G727+G730</f>
        <v>1843089.44</v>
      </c>
      <c r="H725" s="90">
        <f t="shared" si="27"/>
        <v>0.1953959650729964</v>
      </c>
      <c r="I725" s="90">
        <f t="shared" si="28"/>
        <v>0.14868540211402778</v>
      </c>
      <c r="J725" s="262" t="s">
        <v>392</v>
      </c>
    </row>
    <row r="726" spans="1:10" ht="12.75" customHeight="1">
      <c r="A726" s="31" t="s">
        <v>282</v>
      </c>
      <c r="B726" s="75"/>
      <c r="C726" s="75"/>
      <c r="D726" s="75"/>
      <c r="E726" s="213"/>
      <c r="F726" s="151"/>
      <c r="G726" s="240"/>
      <c r="H726" s="30"/>
      <c r="I726" s="118"/>
      <c r="J726" s="263"/>
    </row>
    <row r="727" spans="1:10" ht="12.75">
      <c r="A727" s="31" t="s">
        <v>290</v>
      </c>
      <c r="B727" s="75"/>
      <c r="C727" s="75"/>
      <c r="D727" s="75"/>
      <c r="E727" s="213">
        <v>6841722</v>
      </c>
      <c r="F727" s="151">
        <v>9432587</v>
      </c>
      <c r="G727" s="241">
        <v>1843089.44</v>
      </c>
      <c r="H727" s="118">
        <f t="shared" si="27"/>
        <v>0.1953959650729964</v>
      </c>
      <c r="I727" s="227">
        <f t="shared" si="28"/>
        <v>0.14868540211402778</v>
      </c>
      <c r="J727" s="91">
        <f>G727/G725</f>
        <v>1</v>
      </c>
    </row>
    <row r="728" spans="1:10" s="89" customFormat="1" ht="12.75">
      <c r="A728" s="31" t="s">
        <v>279</v>
      </c>
      <c r="B728" s="75"/>
      <c r="C728" s="75"/>
      <c r="D728" s="75"/>
      <c r="E728" s="213"/>
      <c r="F728" s="151"/>
      <c r="G728" s="241"/>
      <c r="H728" s="118"/>
      <c r="I728" s="118"/>
      <c r="J728" s="91"/>
    </row>
    <row r="729" spans="1:10" ht="25.5">
      <c r="A729" s="31" t="s">
        <v>287</v>
      </c>
      <c r="B729" s="75"/>
      <c r="C729" s="75"/>
      <c r="D729" s="75"/>
      <c r="E729" s="213">
        <v>4944506</v>
      </c>
      <c r="F729" s="151">
        <v>6599086</v>
      </c>
      <c r="G729" s="243">
        <v>1397726.6</v>
      </c>
      <c r="H729" s="118">
        <f t="shared" si="27"/>
        <v>0.21180608950997154</v>
      </c>
      <c r="I729" s="227">
        <f t="shared" si="28"/>
        <v>0.11275716579791857</v>
      </c>
      <c r="J729" s="91">
        <f>G729/G727</f>
        <v>0.7583607011496958</v>
      </c>
    </row>
    <row r="730" spans="1:10" ht="25.5" hidden="1">
      <c r="A730" s="31" t="s">
        <v>291</v>
      </c>
      <c r="B730" s="75"/>
      <c r="C730" s="75"/>
      <c r="D730" s="75"/>
      <c r="E730" s="213">
        <v>0</v>
      </c>
      <c r="F730" s="152">
        <v>0</v>
      </c>
      <c r="G730" s="241">
        <v>0</v>
      </c>
      <c r="H730" s="118" t="e">
        <f t="shared" si="27"/>
        <v>#DIV/0!</v>
      </c>
      <c r="I730" s="118">
        <f t="shared" si="28"/>
        <v>0</v>
      </c>
      <c r="J730" s="91">
        <f>G730/G725</f>
        <v>0</v>
      </c>
    </row>
    <row r="731" spans="1:2" ht="24" customHeight="1">
      <c r="A731" s="196" t="s">
        <v>534</v>
      </c>
      <c r="B731" s="197"/>
    </row>
    <row r="737" spans="1:10" s="89" customFormat="1" ht="12.75">
      <c r="A737"/>
      <c r="B737"/>
      <c r="C737"/>
      <c r="D737"/>
      <c r="E737" s="214"/>
      <c r="F737" s="61"/>
      <c r="G737" s="44"/>
      <c r="H737" s="26"/>
      <c r="I737" s="73"/>
      <c r="J737" s="85"/>
    </row>
    <row r="739" ht="18" customHeight="1"/>
  </sheetData>
  <sheetProtection/>
  <autoFilter ref="D1:D756"/>
  <mergeCells count="10">
    <mergeCell ref="J716:J717"/>
    <mergeCell ref="J725:J726"/>
    <mergeCell ref="J1:J2"/>
    <mergeCell ref="H1:H2"/>
    <mergeCell ref="G1:G2"/>
    <mergeCell ref="A1:A2"/>
    <mergeCell ref="B1:D1"/>
    <mergeCell ref="F1:F2"/>
    <mergeCell ref="E1:E2"/>
    <mergeCell ref="I1:I2"/>
  </mergeCells>
  <printOptions/>
  <pageMargins left="0.4724409448818898" right="0.4724409448818898" top="0.984251968503937" bottom="0.7480314960629921" header="0.5118110236220472" footer="0.3937007874015748"/>
  <pageSetup horizontalDpi="600" verticalDpi="600" orientation="landscape" paperSize="9" r:id="rId3"/>
  <headerFooter alignWithMargins="0">
    <oddHeader>&amp;R&amp;"Arial CE,Pogrubiony"Załącznik Nr 2&amp;"Arial CE,Standardowy"
do informacji z przebiegu wykonania  budżetu  Miasta Radziejów za I półrocze 2018 roku</oddHeader>
    <oddFooter>&amp;C&amp;P&amp;R&amp;"Arial CE,Pogrubiony"&amp;12WYDATKI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Wiktor Śniegowski</dc:creator>
  <cp:keywords/>
  <dc:description/>
  <cp:lastModifiedBy>Skarbnik</cp:lastModifiedBy>
  <cp:lastPrinted>2018-08-09T06:26:58Z</cp:lastPrinted>
  <dcterms:created xsi:type="dcterms:W3CDTF">2004-07-25T15:20:29Z</dcterms:created>
  <dcterms:modified xsi:type="dcterms:W3CDTF">2018-08-14T13:18:34Z</dcterms:modified>
  <cp:category/>
  <cp:version/>
  <cp:contentType/>
  <cp:contentStatus/>
</cp:coreProperties>
</file>